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8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9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0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1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2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3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4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5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Informe Estadístico Mensual\"/>
    </mc:Choice>
  </mc:AlternateContent>
  <xr:revisionPtr revIDLastSave="0" documentId="13_ncr:1_{1D9D38B8-0DEB-41EB-8A90-E414440BBB46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29" i="12" l="1"/>
  <c r="Z129" i="12" s="1"/>
  <c r="X112" i="12"/>
  <c r="Z112" i="12" s="1"/>
  <c r="X95" i="12"/>
  <c r="Z95" i="12" s="1"/>
  <c r="X78" i="12"/>
  <c r="Z78" i="12" s="1"/>
  <c r="X61" i="12"/>
  <c r="Z61" i="12" s="1"/>
  <c r="X44" i="12"/>
  <c r="Z44" i="12" s="1"/>
  <c r="Y27" i="12"/>
  <c r="Z27" i="12"/>
  <c r="X27" i="12"/>
  <c r="Y10" i="12"/>
  <c r="Z10" i="12"/>
  <c r="X10" i="12"/>
  <c r="L129" i="12"/>
  <c r="K129" i="12"/>
  <c r="L112" i="12"/>
  <c r="K112" i="12"/>
  <c r="K95" i="12"/>
  <c r="L95" i="12" s="1"/>
  <c r="L78" i="12"/>
  <c r="K78" i="12"/>
  <c r="L61" i="12"/>
  <c r="K61" i="12"/>
  <c r="K60" i="12"/>
  <c r="L44" i="12"/>
  <c r="K44" i="12"/>
  <c r="K27" i="12"/>
  <c r="L27" i="12" s="1"/>
  <c r="K10" i="12"/>
  <c r="L10" i="12" s="1"/>
  <c r="Y129" i="12" l="1"/>
  <c r="Y112" i="12"/>
  <c r="Y95" i="12"/>
  <c r="Y78" i="12"/>
  <c r="Y61" i="12"/>
  <c r="Y44" i="12"/>
  <c r="X64" i="14" l="1"/>
  <c r="Z64" i="14" s="1"/>
  <c r="X46" i="14"/>
  <c r="Z46" i="14" s="1"/>
  <c r="X28" i="14"/>
  <c r="Z28" i="14" s="1"/>
  <c r="Y10" i="14"/>
  <c r="Z10" i="14"/>
  <c r="X10" i="14"/>
  <c r="K64" i="14"/>
  <c r="L64" i="14" s="1"/>
  <c r="K46" i="14"/>
  <c r="L46" i="14" s="1"/>
  <c r="K28" i="14"/>
  <c r="L28" i="14" s="1"/>
  <c r="K10" i="14"/>
  <c r="L10" i="14" s="1"/>
  <c r="W171" i="8"/>
  <c r="W170" i="8"/>
  <c r="W153" i="8"/>
  <c r="W135" i="8"/>
  <c r="V135" i="8"/>
  <c r="W117" i="8"/>
  <c r="W99" i="8"/>
  <c r="W81" i="8"/>
  <c r="W63" i="8"/>
  <c r="W45" i="8"/>
  <c r="W27" i="8"/>
  <c r="X529" i="8"/>
  <c r="X511" i="8"/>
  <c r="X493" i="8"/>
  <c r="X475" i="8"/>
  <c r="X457" i="8"/>
  <c r="X439" i="8"/>
  <c r="X421" i="8"/>
  <c r="X403" i="8"/>
  <c r="X385" i="8"/>
  <c r="X367" i="8"/>
  <c r="Y367" i="8" s="1"/>
  <c r="X350" i="8"/>
  <c r="Z350" i="8" s="1"/>
  <c r="X332" i="8"/>
  <c r="Z332" i="8" s="1"/>
  <c r="X314" i="8"/>
  <c r="Z314" i="8" s="1"/>
  <c r="X296" i="8"/>
  <c r="Z296" i="8" s="1"/>
  <c r="X278" i="8"/>
  <c r="Z278" i="8" s="1"/>
  <c r="X260" i="8"/>
  <c r="Z260" i="8" s="1"/>
  <c r="X242" i="8"/>
  <c r="Z242" i="8" s="1"/>
  <c r="Y224" i="8"/>
  <c r="Z224" i="8"/>
  <c r="X224" i="8"/>
  <c r="K529" i="8"/>
  <c r="L529" i="8" s="1"/>
  <c r="K511" i="8"/>
  <c r="L511" i="8"/>
  <c r="K493" i="8"/>
  <c r="L493" i="8" s="1"/>
  <c r="K475" i="8"/>
  <c r="L475" i="8" s="1"/>
  <c r="K457" i="8"/>
  <c r="L457" i="8" s="1"/>
  <c r="K439" i="8"/>
  <c r="L439" i="8" s="1"/>
  <c r="K421" i="8"/>
  <c r="L421" i="8" s="1"/>
  <c r="K403" i="8"/>
  <c r="L403" i="8" s="1"/>
  <c r="K385" i="8"/>
  <c r="L385" i="8" s="1"/>
  <c r="K367" i="8"/>
  <c r="L367" i="8" s="1"/>
  <c r="K350" i="8"/>
  <c r="L350" i="8" s="1"/>
  <c r="K332" i="8"/>
  <c r="L332" i="8" s="1"/>
  <c r="K314" i="8"/>
  <c r="L314" i="8" s="1"/>
  <c r="K296" i="8"/>
  <c r="L296" i="8" s="1"/>
  <c r="K278" i="8"/>
  <c r="L278" i="8" s="1"/>
  <c r="K260" i="8"/>
  <c r="L260" i="8" s="1"/>
  <c r="K242" i="8"/>
  <c r="L242" i="8" s="1"/>
  <c r="K224" i="8"/>
  <c r="L224" i="8" s="1"/>
  <c r="K206" i="8"/>
  <c r="L206" i="8" s="1"/>
  <c r="K188" i="8"/>
  <c r="L188" i="8" s="1"/>
  <c r="X206" i="8"/>
  <c r="Z206" i="8" s="1"/>
  <c r="X188" i="8"/>
  <c r="Z188" i="8" s="1"/>
  <c r="X171" i="8"/>
  <c r="Z171" i="8" s="1"/>
  <c r="X153" i="8"/>
  <c r="Z153" i="8" s="1"/>
  <c r="X135" i="8"/>
  <c r="Z135" i="8" s="1"/>
  <c r="X117" i="8"/>
  <c r="Z117" i="8" s="1"/>
  <c r="X99" i="8"/>
  <c r="Z99" i="8" s="1"/>
  <c r="X81" i="8"/>
  <c r="Z81" i="8" s="1"/>
  <c r="X63" i="8"/>
  <c r="Z63" i="8" s="1"/>
  <c r="X45" i="8"/>
  <c r="Z45" i="8" s="1"/>
  <c r="X27" i="8"/>
  <c r="Z27" i="8" s="1"/>
  <c r="Y9" i="8"/>
  <c r="Z9" i="8"/>
  <c r="X9" i="8"/>
  <c r="K171" i="8"/>
  <c r="L171" i="8" s="1"/>
  <c r="K153" i="8"/>
  <c r="K135" i="8"/>
  <c r="K117" i="8"/>
  <c r="K99" i="8"/>
  <c r="K81" i="8"/>
  <c r="K63" i="8"/>
  <c r="K45" i="8"/>
  <c r="K27" i="8"/>
  <c r="K9" i="8"/>
  <c r="X475" i="7"/>
  <c r="Z475" i="7" s="1"/>
  <c r="X457" i="7"/>
  <c r="Z457" i="7" s="1"/>
  <c r="X439" i="7"/>
  <c r="Z439" i="7" s="1"/>
  <c r="X421" i="7"/>
  <c r="Z421" i="7" s="1"/>
  <c r="X403" i="7"/>
  <c r="Z403" i="7" s="1"/>
  <c r="X385" i="7"/>
  <c r="Z385" i="7" s="1"/>
  <c r="X367" i="7"/>
  <c r="Z367" i="7" s="1"/>
  <c r="X349" i="7"/>
  <c r="Z349" i="7" s="1"/>
  <c r="Y331" i="7"/>
  <c r="Z331" i="7"/>
  <c r="X331" i="7"/>
  <c r="X314" i="7"/>
  <c r="Z314" i="7" s="1"/>
  <c r="X296" i="7"/>
  <c r="Z296" i="7" s="1"/>
  <c r="X278" i="7"/>
  <c r="Z278" i="7" s="1"/>
  <c r="X260" i="7"/>
  <c r="Z260" i="7" s="1"/>
  <c r="X242" i="7"/>
  <c r="Z242" i="7" s="1"/>
  <c r="X224" i="7"/>
  <c r="Z224" i="7" s="1"/>
  <c r="X206" i="7"/>
  <c r="Z206" i="7" s="1"/>
  <c r="X188" i="7"/>
  <c r="Z188" i="7" s="1"/>
  <c r="X170" i="7"/>
  <c r="Z170" i="7" s="1"/>
  <c r="X153" i="7"/>
  <c r="Z153" i="7" s="1"/>
  <c r="X135" i="7"/>
  <c r="Z135" i="7" s="1"/>
  <c r="X117" i="7"/>
  <c r="Z117" i="7" s="1"/>
  <c r="X99" i="7"/>
  <c r="Z99" i="7" s="1"/>
  <c r="X81" i="7"/>
  <c r="Z81" i="7" s="1"/>
  <c r="X63" i="7"/>
  <c r="Z63" i="7" s="1"/>
  <c r="X45" i="7"/>
  <c r="Z45" i="7" s="1"/>
  <c r="X27" i="7"/>
  <c r="Z27" i="7" s="1"/>
  <c r="Y9" i="7"/>
  <c r="Z9" i="7"/>
  <c r="X9" i="7"/>
  <c r="K475" i="7"/>
  <c r="L475" i="7" s="1"/>
  <c r="K457" i="7"/>
  <c r="L457" i="7" s="1"/>
  <c r="K439" i="7"/>
  <c r="L439" i="7" s="1"/>
  <c r="K421" i="7"/>
  <c r="L421" i="7" s="1"/>
  <c r="K403" i="7"/>
  <c r="L403" i="7" s="1"/>
  <c r="K385" i="7"/>
  <c r="L385" i="7" s="1"/>
  <c r="K367" i="7"/>
  <c r="L367" i="7" s="1"/>
  <c r="K349" i="7"/>
  <c r="L349" i="7" s="1"/>
  <c r="K331" i="7"/>
  <c r="L331" i="7"/>
  <c r="K314" i="7"/>
  <c r="L314" i="7" s="1"/>
  <c r="K296" i="7"/>
  <c r="L296" i="7" s="1"/>
  <c r="K278" i="7"/>
  <c r="L278" i="7" s="1"/>
  <c r="K260" i="7"/>
  <c r="L260" i="7" s="1"/>
  <c r="K242" i="7"/>
  <c r="L242" i="7"/>
  <c r="K224" i="7"/>
  <c r="L224" i="7" s="1"/>
  <c r="K206" i="7"/>
  <c r="L206" i="7" s="1"/>
  <c r="K188" i="7"/>
  <c r="L188" i="7" s="1"/>
  <c r="K170" i="7"/>
  <c r="L170" i="7" s="1"/>
  <c r="K153" i="7"/>
  <c r="L153" i="7" s="1"/>
  <c r="K135" i="7"/>
  <c r="L135" i="7" s="1"/>
  <c r="K117" i="7"/>
  <c r="L117" i="7" s="1"/>
  <c r="K99" i="7"/>
  <c r="L99" i="7" s="1"/>
  <c r="K100" i="7"/>
  <c r="L100" i="7"/>
  <c r="K81" i="7"/>
  <c r="L81" i="7" s="1"/>
  <c r="K63" i="7"/>
  <c r="L63" i="7" s="1"/>
  <c r="K45" i="7"/>
  <c r="L45" i="7" s="1"/>
  <c r="K27" i="7"/>
  <c r="L27" i="7"/>
  <c r="K9" i="7"/>
  <c r="L9" i="7" s="1"/>
  <c r="X152" i="6"/>
  <c r="Z152" i="6" s="1"/>
  <c r="X134" i="6"/>
  <c r="Z134" i="6" s="1"/>
  <c r="X116" i="6"/>
  <c r="Y116" i="6" s="1"/>
  <c r="Z116" i="6"/>
  <c r="X99" i="6"/>
  <c r="Z99" i="6" s="1"/>
  <c r="X81" i="6"/>
  <c r="Z81" i="6" s="1"/>
  <c r="Y63" i="6"/>
  <c r="Z63" i="6"/>
  <c r="X63" i="6"/>
  <c r="X46" i="6"/>
  <c r="Z46" i="6" s="1"/>
  <c r="X28" i="6"/>
  <c r="Z28" i="6" s="1"/>
  <c r="Y10" i="6"/>
  <c r="Z10" i="6"/>
  <c r="X10" i="6"/>
  <c r="K46" i="6"/>
  <c r="L46" i="6" s="1"/>
  <c r="K28" i="6"/>
  <c r="L28" i="6" s="1"/>
  <c r="K10" i="6"/>
  <c r="L10" i="6" s="1"/>
  <c r="X64" i="5"/>
  <c r="Z64" i="5" s="1"/>
  <c r="X46" i="5"/>
  <c r="Z46" i="5" s="1"/>
  <c r="X28" i="5"/>
  <c r="Z28" i="5" s="1"/>
  <c r="Y10" i="5"/>
  <c r="Z10" i="5"/>
  <c r="X10" i="5"/>
  <c r="K64" i="5"/>
  <c r="L64" i="5" s="1"/>
  <c r="K46" i="5"/>
  <c r="L46" i="5" s="1"/>
  <c r="K28" i="5"/>
  <c r="L28" i="5" s="1"/>
  <c r="K10" i="5"/>
  <c r="L10" i="5" s="1"/>
  <c r="Y10" i="3"/>
  <c r="Z10" i="3"/>
  <c r="X10" i="3"/>
  <c r="K154" i="3"/>
  <c r="K136" i="3"/>
  <c r="K118" i="3"/>
  <c r="K100" i="3"/>
  <c r="K82" i="3"/>
  <c r="K64" i="3"/>
  <c r="K46" i="3"/>
  <c r="K28" i="3"/>
  <c r="K10" i="3"/>
  <c r="L10" i="3"/>
  <c r="K82" i="2"/>
  <c r="K46" i="2"/>
  <c r="K28" i="2"/>
  <c r="K10" i="2"/>
  <c r="W64" i="1"/>
  <c r="X64" i="1"/>
  <c r="Z64" i="1" s="1"/>
  <c r="X46" i="1"/>
  <c r="Z46" i="1" s="1"/>
  <c r="X28" i="1"/>
  <c r="Z28" i="1" s="1"/>
  <c r="Y10" i="1"/>
  <c r="Z10" i="1"/>
  <c r="X10" i="1"/>
  <c r="K64" i="1"/>
  <c r="L64" i="1" s="1"/>
  <c r="K46" i="1"/>
  <c r="L46" i="1" s="1"/>
  <c r="K28" i="1"/>
  <c r="L28" i="1" s="1"/>
  <c r="K10" i="1"/>
  <c r="L10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G80" i="14"/>
  <c r="AG79" i="14"/>
  <c r="AF80" i="14"/>
  <c r="AF79" i="14"/>
  <c r="AG78" i="14"/>
  <c r="AF78" i="14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D79" i="14" s="1"/>
  <c r="E79" i="14" s="1"/>
  <c r="F79" i="14" s="1"/>
  <c r="G79" i="14" s="1"/>
  <c r="H79" i="14" s="1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K125" i="5"/>
  <c r="J125" i="5"/>
  <c r="I125" i="5"/>
  <c r="H125" i="5"/>
  <c r="H129" i="5" s="1"/>
  <c r="G125" i="5"/>
  <c r="F125" i="5"/>
  <c r="E125" i="5"/>
  <c r="D125" i="5"/>
  <c r="D129" i="5" s="1"/>
  <c r="C125" i="5"/>
  <c r="B125" i="5"/>
  <c r="B129" i="5" s="1"/>
  <c r="A123" i="5"/>
  <c r="I129" i="5"/>
  <c r="E129" i="5"/>
  <c r="K130" i="5"/>
  <c r="J130" i="5"/>
  <c r="I130" i="5"/>
  <c r="G130" i="5"/>
  <c r="F130" i="5"/>
  <c r="E130" i="5"/>
  <c r="C130" i="5"/>
  <c r="C124" i="5"/>
  <c r="D124" i="5" s="1"/>
  <c r="E124" i="5" s="1"/>
  <c r="F124" i="5" s="1"/>
  <c r="G124" i="5" s="1"/>
  <c r="H124" i="5" s="1"/>
  <c r="K110" i="5"/>
  <c r="J110" i="5"/>
  <c r="I110" i="5"/>
  <c r="H110" i="5"/>
  <c r="G110" i="5"/>
  <c r="F110" i="5"/>
  <c r="E110" i="5"/>
  <c r="D110" i="5"/>
  <c r="C110" i="5"/>
  <c r="B110" i="5"/>
  <c r="A108" i="5"/>
  <c r="J114" i="5"/>
  <c r="I114" i="5"/>
  <c r="F114" i="5"/>
  <c r="E114" i="5"/>
  <c r="B114" i="5"/>
  <c r="K115" i="5"/>
  <c r="J115" i="5"/>
  <c r="H114" i="5"/>
  <c r="G115" i="5"/>
  <c r="F115" i="5"/>
  <c r="D114" i="5"/>
  <c r="C115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Y64" i="14" l="1"/>
  <c r="Y46" i="14"/>
  <c r="Y28" i="14"/>
  <c r="Z529" i="8"/>
  <c r="Z511" i="8"/>
  <c r="Z493" i="8"/>
  <c r="Z475" i="8"/>
  <c r="Z457" i="8"/>
  <c r="Z439" i="8"/>
  <c r="Z421" i="8"/>
  <c r="Z403" i="8"/>
  <c r="Z385" i="8"/>
  <c r="Z367" i="8"/>
  <c r="Y350" i="8"/>
  <c r="Y332" i="8"/>
  <c r="Y314" i="8"/>
  <c r="Y296" i="8"/>
  <c r="Y278" i="8"/>
  <c r="Y260" i="8"/>
  <c r="Y242" i="8"/>
  <c r="Y206" i="8"/>
  <c r="Y188" i="8"/>
  <c r="Y171" i="8"/>
  <c r="Y153" i="8"/>
  <c r="Y135" i="8"/>
  <c r="Y117" i="8"/>
  <c r="Y99" i="8"/>
  <c r="Y81" i="8"/>
  <c r="Y63" i="8"/>
  <c r="Y45" i="8"/>
  <c r="Y27" i="8"/>
  <c r="Y475" i="7"/>
  <c r="Y457" i="7"/>
  <c r="Y439" i="7"/>
  <c r="Y421" i="7"/>
  <c r="Y403" i="7"/>
  <c r="Y385" i="7"/>
  <c r="Y367" i="7"/>
  <c r="Y349" i="7"/>
  <c r="Y314" i="7"/>
  <c r="Y296" i="7"/>
  <c r="Y278" i="7"/>
  <c r="Y260" i="7"/>
  <c r="Y242" i="7"/>
  <c r="Y224" i="7"/>
  <c r="Y206" i="7"/>
  <c r="Y188" i="7"/>
  <c r="Y170" i="7"/>
  <c r="Y153" i="7"/>
  <c r="Y135" i="7"/>
  <c r="Y117" i="7"/>
  <c r="Y99" i="7"/>
  <c r="Y81" i="7"/>
  <c r="Y63" i="7"/>
  <c r="Y45" i="7"/>
  <c r="Y27" i="7"/>
  <c r="Y152" i="6"/>
  <c r="Y134" i="6"/>
  <c r="Y99" i="6"/>
  <c r="Y81" i="6"/>
  <c r="Y46" i="6"/>
  <c r="Y28" i="6"/>
  <c r="Y64" i="5"/>
  <c r="Y46" i="5"/>
  <c r="Y28" i="5"/>
  <c r="K64" i="2"/>
  <c r="Y64" i="1"/>
  <c r="Y46" i="1"/>
  <c r="Y28" i="1"/>
  <c r="H130" i="5"/>
  <c r="F129" i="5"/>
  <c r="J129" i="5"/>
  <c r="D130" i="5"/>
  <c r="C129" i="5"/>
  <c r="G129" i="5"/>
  <c r="K129" i="5"/>
  <c r="E115" i="5"/>
  <c r="I115" i="5"/>
  <c r="C114" i="5"/>
  <c r="G114" i="5"/>
  <c r="K114" i="5"/>
  <c r="D115" i="5"/>
  <c r="H115" i="5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K349" i="8" l="1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N83" i="11"/>
  <c r="K98" i="6"/>
  <c r="K80" i="6"/>
  <c r="K62" i="6"/>
  <c r="K115" i="6" s="1"/>
  <c r="K45" i="6"/>
  <c r="K27" i="6"/>
  <c r="S38" i="11" s="1"/>
  <c r="K9" i="6"/>
  <c r="K63" i="5"/>
  <c r="K45" i="5"/>
  <c r="K27" i="5"/>
  <c r="K9" i="5"/>
  <c r="Y9" i="3"/>
  <c r="Z9" i="3"/>
  <c r="X9" i="3"/>
  <c r="K153" i="3"/>
  <c r="K135" i="3"/>
  <c r="K117" i="3"/>
  <c r="K99" i="3"/>
  <c r="M69" i="10" s="1"/>
  <c r="K81" i="3"/>
  <c r="K63" i="3"/>
  <c r="K45" i="3"/>
  <c r="K27" i="3"/>
  <c r="M54" i="10" s="1"/>
  <c r="K9" i="3"/>
  <c r="L9" i="3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E130" i="11"/>
  <c r="E129" i="11"/>
  <c r="D127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T101" i="11"/>
  <c r="T100" i="11"/>
  <c r="T99" i="11"/>
  <c r="T98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Q101" i="11"/>
  <c r="Q100" i="11"/>
  <c r="Q99" i="11"/>
  <c r="Q98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N101" i="11"/>
  <c r="N100" i="11"/>
  <c r="N99" i="11"/>
  <c r="N98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T86" i="11"/>
  <c r="T85" i="11"/>
  <c r="T84" i="11"/>
  <c r="T83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Q86" i="11"/>
  <c r="Q85" i="11"/>
  <c r="Q84" i="11"/>
  <c r="Q83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N86" i="11"/>
  <c r="N85" i="11"/>
  <c r="N84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T56" i="11"/>
  <c r="T55" i="11"/>
  <c r="T54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Q56" i="11"/>
  <c r="Q55" i="11"/>
  <c r="Q54" i="11"/>
  <c r="P53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T41" i="11"/>
  <c r="T40" i="11"/>
  <c r="T39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Q41" i="11"/>
  <c r="Q40" i="11"/>
  <c r="Q39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Q27" i="15"/>
  <c r="Q26" i="15"/>
  <c r="Q25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N27" i="15"/>
  <c r="N26" i="15"/>
  <c r="N25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K27" i="15"/>
  <c r="K26" i="15"/>
  <c r="K25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Q71" i="10"/>
  <c r="P69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N71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K71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Q56" i="10"/>
  <c r="P54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N56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Q41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N41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K41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Q27" i="10"/>
  <c r="Q26" i="10"/>
  <c r="Q25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N27" i="10"/>
  <c r="N26" i="10"/>
  <c r="N25" i="10"/>
  <c r="K33" i="10"/>
  <c r="K32" i="10"/>
  <c r="K31" i="10"/>
  <c r="K30" i="10"/>
  <c r="K29" i="10"/>
  <c r="K28" i="10"/>
  <c r="K27" i="10"/>
  <c r="K26" i="10"/>
  <c r="K25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K474" i="8" l="1"/>
  <c r="K420" i="8"/>
  <c r="K151" i="6"/>
  <c r="M155" i="11"/>
  <c r="J24" i="10"/>
  <c r="K492" i="8"/>
  <c r="K402" i="8"/>
  <c r="P38" i="11"/>
  <c r="J127" i="11"/>
  <c r="D155" i="11"/>
  <c r="K27" i="14"/>
  <c r="K366" i="8"/>
  <c r="K438" i="8"/>
  <c r="K510" i="8"/>
  <c r="K45" i="14"/>
  <c r="S53" i="11"/>
  <c r="K133" i="6"/>
  <c r="K384" i="8"/>
  <c r="K456" i="8"/>
  <c r="K528" i="8"/>
  <c r="K63" i="14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M58" i="13"/>
  <c r="M57" i="13"/>
  <c r="M56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M43" i="13"/>
  <c r="M42" i="13"/>
  <c r="M41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P12" i="13"/>
  <c r="P11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M13" i="13"/>
  <c r="M12" i="13"/>
  <c r="M11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Q12" i="15"/>
  <c r="Q11" i="15"/>
  <c r="Q10" i="15"/>
  <c r="P9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T71" i="11"/>
  <c r="T70" i="11"/>
  <c r="T69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Q71" i="11"/>
  <c r="Q70" i="11"/>
  <c r="Q69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T26" i="11"/>
  <c r="T25" i="11"/>
  <c r="T24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T12" i="11"/>
  <c r="T11" i="11"/>
  <c r="T10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S96" i="11" s="1"/>
  <c r="K241" i="7"/>
  <c r="K240" i="7"/>
  <c r="K223" i="7"/>
  <c r="K222" i="7"/>
  <c r="K205" i="7"/>
  <c r="K204" i="7"/>
  <c r="K187" i="7"/>
  <c r="P97" i="11" s="1"/>
  <c r="K186" i="7"/>
  <c r="P96" i="11" s="1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S81" i="11" s="1"/>
  <c r="K80" i="7"/>
  <c r="K79" i="7"/>
  <c r="K62" i="7"/>
  <c r="K61" i="7"/>
  <c r="K44" i="7"/>
  <c r="K43" i="7"/>
  <c r="K26" i="7"/>
  <c r="P82" i="11" s="1"/>
  <c r="K25" i="7"/>
  <c r="P81" i="11" s="1"/>
  <c r="K8" i="7"/>
  <c r="M82" i="11" s="1"/>
  <c r="K7" i="7"/>
  <c r="M81" i="11" s="1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O24" i="13" s="1"/>
  <c r="K93" i="12"/>
  <c r="O39" i="13" s="1"/>
  <c r="K76" i="12"/>
  <c r="K59" i="12"/>
  <c r="L54" i="13" s="1"/>
  <c r="K42" i="12"/>
  <c r="L24" i="13" s="1"/>
  <c r="K25" i="12"/>
  <c r="L39" i="13" s="1"/>
  <c r="P154" i="11" l="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365" i="8"/>
  <c r="K437" i="8"/>
  <c r="K509" i="8"/>
  <c r="K383" i="8"/>
  <c r="K455" i="8"/>
  <c r="K527" i="8"/>
  <c r="K419" i="8"/>
  <c r="K491" i="8"/>
  <c r="K8" i="12" l="1"/>
  <c r="L9" i="13" s="1"/>
  <c r="K97" i="6"/>
  <c r="K79" i="6"/>
  <c r="K61" i="6"/>
  <c r="K44" i="6"/>
  <c r="K26" i="6"/>
  <c r="K8" i="6"/>
  <c r="P37" i="11" s="1"/>
  <c r="K62" i="5"/>
  <c r="K44" i="5"/>
  <c r="K26" i="5"/>
  <c r="K8" i="5"/>
  <c r="Y8" i="3"/>
  <c r="Z8" i="3"/>
  <c r="X8" i="3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K80" i="3"/>
  <c r="J68" i="10" s="1"/>
  <c r="K62" i="3"/>
  <c r="P53" i="10" s="1"/>
  <c r="K44" i="3"/>
  <c r="K26" i="3"/>
  <c r="M53" i="10" s="1"/>
  <c r="K8" i="3"/>
  <c r="L8" i="3"/>
  <c r="K80" i="2"/>
  <c r="K44" i="2"/>
  <c r="K26" i="2"/>
  <c r="K8" i="2"/>
  <c r="K62" i="1"/>
  <c r="K44" i="1"/>
  <c r="K26" i="1"/>
  <c r="K8" i="1"/>
  <c r="K126" i="12"/>
  <c r="K191" i="12" s="1"/>
  <c r="K109" i="12"/>
  <c r="K175" i="12" s="1"/>
  <c r="K92" i="12"/>
  <c r="K160" i="12" s="1"/>
  <c r="K75" i="12"/>
  <c r="K145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243" i="6" s="1"/>
  <c r="K78" i="6"/>
  <c r="K60" i="6"/>
  <c r="K43" i="6"/>
  <c r="K198" i="6" s="1"/>
  <c r="K25" i="6"/>
  <c r="K183" i="6" s="1"/>
  <c r="K7" i="6"/>
  <c r="K61" i="5"/>
  <c r="K43" i="5"/>
  <c r="K25" i="5"/>
  <c r="K7" i="5"/>
  <c r="K151" i="3"/>
  <c r="K97" i="3"/>
  <c r="K115" i="3"/>
  <c r="X118" i="3" s="1"/>
  <c r="K133" i="3"/>
  <c r="K79" i="3"/>
  <c r="K61" i="3"/>
  <c r="K43" i="3"/>
  <c r="K25" i="3"/>
  <c r="K7" i="3"/>
  <c r="K79" i="2"/>
  <c r="K43" i="2"/>
  <c r="K25" i="2"/>
  <c r="K7" i="2"/>
  <c r="K61" i="1"/>
  <c r="K43" i="1"/>
  <c r="K114" i="1" s="1"/>
  <c r="K25" i="1"/>
  <c r="K97" i="1" s="1"/>
  <c r="K128" i="2" l="1"/>
  <c r="K113" i="2"/>
  <c r="K195" i="12"/>
  <c r="K149" i="12"/>
  <c r="K164" i="12"/>
  <c r="K179" i="12"/>
  <c r="K118" i="1"/>
  <c r="K187" i="6"/>
  <c r="K288" i="6"/>
  <c r="K247" i="6"/>
  <c r="K131" i="1"/>
  <c r="K202" i="6"/>
  <c r="K98" i="2"/>
  <c r="K213" i="6"/>
  <c r="K132" i="2"/>
  <c r="K117" i="2"/>
  <c r="K168" i="6"/>
  <c r="K228" i="6"/>
  <c r="K95" i="5"/>
  <c r="S8" i="11"/>
  <c r="S7" i="11"/>
  <c r="K80" i="5"/>
  <c r="K101" i="1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K110" i="14" s="1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K80" i="1" s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145" i="12" s="1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J77" i="12"/>
  <c r="L77" i="12" s="1"/>
  <c r="P10" i="13" s="1"/>
  <c r="J76" i="12"/>
  <c r="J75" i="12"/>
  <c r="J145" i="12" s="1"/>
  <c r="J85" i="12"/>
  <c r="J86" i="12"/>
  <c r="J69" i="12"/>
  <c r="J52" i="12"/>
  <c r="J35" i="12"/>
  <c r="J18" i="12"/>
  <c r="K143" i="2" l="1"/>
  <c r="J149" i="12"/>
  <c r="X127" i="3"/>
  <c r="X77" i="12"/>
  <c r="I145" i="12"/>
  <c r="G145" i="12"/>
  <c r="F145" i="12"/>
  <c r="E145" i="12"/>
  <c r="D145" i="12"/>
  <c r="C145" i="12"/>
  <c r="B145" i="12"/>
  <c r="B149" i="12" s="1"/>
  <c r="K126" i="14"/>
  <c r="K130" i="14" s="1"/>
  <c r="K150" i="12"/>
  <c r="H149" i="12"/>
  <c r="H150" i="12"/>
  <c r="K135" i="1"/>
  <c r="K147" i="2"/>
  <c r="K102" i="2"/>
  <c r="K114" i="14"/>
  <c r="K95" i="14"/>
  <c r="K232" i="6"/>
  <c r="K273" i="6"/>
  <c r="K258" i="6"/>
  <c r="K217" i="6"/>
  <c r="K172" i="6"/>
  <c r="K292" i="6"/>
  <c r="K84" i="5"/>
  <c r="K99" i="5"/>
  <c r="K84" i="1"/>
  <c r="X75" i="12"/>
  <c r="L76" i="12"/>
  <c r="P9" i="13" s="1"/>
  <c r="X76" i="12"/>
  <c r="K7" i="14"/>
  <c r="K80" i="14" s="1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E150" i="12" l="1"/>
  <c r="E149" i="12"/>
  <c r="F149" i="12"/>
  <c r="F150" i="12"/>
  <c r="C149" i="12"/>
  <c r="C150" i="12"/>
  <c r="G149" i="12"/>
  <c r="G150" i="12"/>
  <c r="X87" i="12"/>
  <c r="D149" i="12"/>
  <c r="D150" i="12"/>
  <c r="I150" i="12"/>
  <c r="I149" i="12"/>
  <c r="J150" i="12"/>
  <c r="K262" i="6"/>
  <c r="K84" i="14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18" i="3"/>
  <c r="J90" i="2"/>
  <c r="J54" i="2"/>
  <c r="J36" i="2"/>
  <c r="J18" i="2"/>
  <c r="J72" i="1"/>
  <c r="J54" i="1"/>
  <c r="J36" i="1"/>
  <c r="J18" i="1"/>
  <c r="J358" i="7" l="1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J136" i="12" l="1"/>
  <c r="J135" i="12"/>
  <c r="J134" i="12"/>
  <c r="J133" i="12"/>
  <c r="J132" i="12"/>
  <c r="J131" i="12"/>
  <c r="J130" i="12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J113" i="12"/>
  <c r="J112" i="12"/>
  <c r="J111" i="12"/>
  <c r="L111" i="12" s="1"/>
  <c r="J110" i="12"/>
  <c r="J102" i="12"/>
  <c r="J101" i="12"/>
  <c r="J100" i="12"/>
  <c r="J99" i="12"/>
  <c r="J98" i="12"/>
  <c r="J97" i="12"/>
  <c r="J96" i="12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J62" i="12"/>
  <c r="J61" i="12"/>
  <c r="J60" i="12"/>
  <c r="L60" i="12" s="1"/>
  <c r="M55" i="13" s="1"/>
  <c r="J59" i="12"/>
  <c r="J51" i="12"/>
  <c r="J50" i="12"/>
  <c r="J49" i="12"/>
  <c r="J48" i="12"/>
  <c r="J47" i="12"/>
  <c r="J46" i="12"/>
  <c r="J45" i="12"/>
  <c r="J44" i="12"/>
  <c r="J43" i="12"/>
  <c r="L43" i="12" s="1"/>
  <c r="J42" i="12"/>
  <c r="L42" i="12" s="1"/>
  <c r="M24" i="13" s="1"/>
  <c r="X128" i="12" l="1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J11" i="12"/>
  <c r="J10" i="12"/>
  <c r="J9" i="12"/>
  <c r="L9" i="12" s="1"/>
  <c r="M10" i="13" s="1"/>
  <c r="J34" i="12"/>
  <c r="J33" i="12"/>
  <c r="J32" i="12"/>
  <c r="J31" i="12"/>
  <c r="J30" i="12"/>
  <c r="J29" i="12"/>
  <c r="J28" i="12"/>
  <c r="J27" i="12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9" i="12" l="1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17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R102" i="11" s="1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O102" i="11" s="1"/>
  <c r="J193" i="7"/>
  <c r="O103" i="11" s="1"/>
  <c r="J194" i="7"/>
  <c r="O104" i="11" s="1"/>
  <c r="J195" i="7"/>
  <c r="O105" i="11" s="1"/>
  <c r="J174" i="7"/>
  <c r="L102" i="11" s="1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R87" i="11" s="1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O87" i="11" s="1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L87" i="11" s="1"/>
  <c r="J70" i="5"/>
  <c r="J52" i="5"/>
  <c r="J34" i="5"/>
  <c r="J16" i="5"/>
  <c r="J105" i="6"/>
  <c r="J87" i="6"/>
  <c r="J69" i="6"/>
  <c r="J52" i="6"/>
  <c r="J34" i="6"/>
  <c r="J16" i="6"/>
  <c r="J446" i="7" l="1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J479" i="7" l="1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X154" i="3" s="1"/>
  <c r="I155" i="3"/>
  <c r="H155" i="3"/>
  <c r="G155" i="3"/>
  <c r="F155" i="3"/>
  <c r="E155" i="3"/>
  <c r="D155" i="3"/>
  <c r="C155" i="3"/>
  <c r="B155" i="3"/>
  <c r="J154" i="3"/>
  <c r="L154" i="3" s="1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X136" i="3" s="1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L134" i="3" s="1"/>
  <c r="Q68" i="10" s="1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L118" i="3" s="1"/>
  <c r="H118" i="3"/>
  <c r="G118" i="3"/>
  <c r="F118" i="3"/>
  <c r="E118" i="3"/>
  <c r="D118" i="3"/>
  <c r="C118" i="3"/>
  <c r="B118" i="3"/>
  <c r="I117" i="3"/>
  <c r="L117" i="3" s="1"/>
  <c r="H117" i="3"/>
  <c r="G117" i="3"/>
  <c r="F117" i="3"/>
  <c r="E117" i="3"/>
  <c r="D117" i="3"/>
  <c r="C117" i="3"/>
  <c r="B117" i="3"/>
  <c r="I116" i="3"/>
  <c r="L116" i="3" s="1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X100" i="3" s="1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X82" i="3" s="1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X64" i="3" s="1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X46" i="3" s="1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X28" i="3" s="1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X45" i="3" l="1"/>
  <c r="L46" i="3"/>
  <c r="X81" i="3"/>
  <c r="L82" i="3"/>
  <c r="K70" i="10" s="1"/>
  <c r="L136" i="3"/>
  <c r="Q70" i="10" s="1"/>
  <c r="L28" i="3"/>
  <c r="N55" i="10" s="1"/>
  <c r="L64" i="3"/>
  <c r="Q55" i="10" s="1"/>
  <c r="L100" i="3"/>
  <c r="N70" i="10" s="1"/>
  <c r="X135" i="3"/>
  <c r="L152" i="3"/>
  <c r="X27" i="3"/>
  <c r="L44" i="3"/>
  <c r="X63" i="3"/>
  <c r="L80" i="3"/>
  <c r="K68" i="10" s="1"/>
  <c r="X99" i="3"/>
  <c r="X153" i="3"/>
  <c r="X25" i="3"/>
  <c r="L26" i="3"/>
  <c r="N53" i="10" s="1"/>
  <c r="X61" i="3"/>
  <c r="L62" i="3"/>
  <c r="Q53" i="10" s="1"/>
  <c r="X97" i="3"/>
  <c r="L98" i="3"/>
  <c r="N68" i="10" s="1"/>
  <c r="L135" i="3"/>
  <c r="Q69" i="10" s="1"/>
  <c r="X134" i="3"/>
  <c r="W160" i="3"/>
  <c r="W156" i="3"/>
  <c r="W152" i="3"/>
  <c r="W159" i="3"/>
  <c r="W155" i="3"/>
  <c r="W151" i="3"/>
  <c r="W162" i="3"/>
  <c r="W158" i="3"/>
  <c r="W154" i="3"/>
  <c r="Y154" i="3" s="1"/>
  <c r="W161" i="3"/>
  <c r="W157" i="3"/>
  <c r="W153" i="3"/>
  <c r="L27" i="3"/>
  <c r="N54" i="10" s="1"/>
  <c r="X26" i="3"/>
  <c r="W52" i="3"/>
  <c r="W48" i="3"/>
  <c r="W44" i="3"/>
  <c r="W51" i="3"/>
  <c r="W47" i="3"/>
  <c r="W43" i="3"/>
  <c r="W54" i="3"/>
  <c r="W50" i="3"/>
  <c r="W46" i="3"/>
  <c r="Y46" i="3" s="1"/>
  <c r="W53" i="3"/>
  <c r="W49" i="3"/>
  <c r="W45" i="3"/>
  <c r="Y45" i="3" s="1"/>
  <c r="L63" i="3"/>
  <c r="Q54" i="10" s="1"/>
  <c r="X62" i="3"/>
  <c r="W88" i="3"/>
  <c r="W84" i="3"/>
  <c r="W80" i="3"/>
  <c r="W87" i="3"/>
  <c r="W83" i="3"/>
  <c r="W79" i="3"/>
  <c r="W90" i="3"/>
  <c r="W86" i="3"/>
  <c r="W82" i="3"/>
  <c r="Y82" i="3" s="1"/>
  <c r="W89" i="3"/>
  <c r="W85" i="3"/>
  <c r="W81" i="3"/>
  <c r="Y81" i="3" s="1"/>
  <c r="L99" i="3"/>
  <c r="N69" i="10" s="1"/>
  <c r="X98" i="3"/>
  <c r="W124" i="3"/>
  <c r="W120" i="3"/>
  <c r="W116" i="3"/>
  <c r="Y116" i="3" s="1"/>
  <c r="W123" i="3"/>
  <c r="W119" i="3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W133" i="3"/>
  <c r="W144" i="3"/>
  <c r="W140" i="3"/>
  <c r="W136" i="3"/>
  <c r="Y136" i="3" s="1"/>
  <c r="W143" i="3"/>
  <c r="W139" i="3"/>
  <c r="W135" i="3"/>
  <c r="Y135" i="3" s="1"/>
  <c r="L153" i="3"/>
  <c r="X152" i="3"/>
  <c r="W34" i="3"/>
  <c r="W30" i="3"/>
  <c r="W26" i="3"/>
  <c r="W33" i="3"/>
  <c r="W29" i="3"/>
  <c r="W25" i="3"/>
  <c r="W36" i="3"/>
  <c r="W32" i="3"/>
  <c r="W28" i="3"/>
  <c r="Y28" i="3" s="1"/>
  <c r="W35" i="3"/>
  <c r="W31" i="3"/>
  <c r="W27" i="3"/>
  <c r="Y27" i="3" s="1"/>
  <c r="L45" i="3"/>
  <c r="X44" i="3"/>
  <c r="W70" i="3"/>
  <c r="W66" i="3"/>
  <c r="W62" i="3"/>
  <c r="W69" i="3"/>
  <c r="W65" i="3"/>
  <c r="W61" i="3"/>
  <c r="W72" i="3"/>
  <c r="W68" i="3"/>
  <c r="W64" i="3"/>
  <c r="Y64" i="3" s="1"/>
  <c r="W71" i="3"/>
  <c r="W67" i="3"/>
  <c r="W63" i="3"/>
  <c r="Y63" i="3" s="1"/>
  <c r="L81" i="3"/>
  <c r="K69" i="10" s="1"/>
  <c r="X80" i="3"/>
  <c r="W106" i="3"/>
  <c r="W102" i="3"/>
  <c r="W98" i="3"/>
  <c r="W105" i="3"/>
  <c r="W101" i="3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128" i="3" l="1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10" i="3" s="1"/>
  <c r="X145" i="3"/>
  <c r="J92" i="3"/>
  <c r="J146" i="3"/>
  <c r="I18" i="3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J16" i="3"/>
  <c r="I16" i="3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H13" i="3"/>
  <c r="G13" i="3"/>
  <c r="F13" i="3"/>
  <c r="E13" i="3"/>
  <c r="D13" i="3"/>
  <c r="C13" i="3"/>
  <c r="B13" i="3"/>
  <c r="J12" i="3"/>
  <c r="I12" i="3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H9" i="3"/>
  <c r="G9" i="3"/>
  <c r="F9" i="3"/>
  <c r="E9" i="3"/>
  <c r="D9" i="3"/>
  <c r="C9" i="3"/>
  <c r="B9" i="3"/>
  <c r="J8" i="3"/>
  <c r="I8" i="3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X82" i="2" s="1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X46" i="2" s="1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C128" i="2" s="1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I113" i="2" s="1"/>
  <c r="H25" i="2"/>
  <c r="G25" i="2"/>
  <c r="F25" i="2"/>
  <c r="E25" i="2"/>
  <c r="E113" i="2" s="1"/>
  <c r="E117" i="2" s="1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D98" i="2" s="1"/>
  <c r="E7" i="2"/>
  <c r="F7" i="2"/>
  <c r="F98" i="2" s="1"/>
  <c r="G7" i="2"/>
  <c r="H7" i="2"/>
  <c r="H98" i="2" s="1"/>
  <c r="I7" i="2"/>
  <c r="J7" i="2"/>
  <c r="J98" i="2" s="1"/>
  <c r="B7" i="2"/>
  <c r="X10" i="2" l="1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3" i="2"/>
  <c r="F102" i="2"/>
  <c r="C132" i="2"/>
  <c r="D102" i="2"/>
  <c r="B98" i="2"/>
  <c r="B102" i="2" s="1"/>
  <c r="G98" i="2"/>
  <c r="H103" i="2" s="1"/>
  <c r="C98" i="2"/>
  <c r="D113" i="2"/>
  <c r="H113" i="2"/>
  <c r="B128" i="2"/>
  <c r="B132" i="2" s="1"/>
  <c r="F128" i="2"/>
  <c r="G133" i="2" s="1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9" i="2"/>
  <c r="X128" i="3"/>
  <c r="X25" i="2"/>
  <c r="X79" i="2"/>
  <c r="X92" i="3"/>
  <c r="X74" i="3"/>
  <c r="X38" i="3"/>
  <c r="X7" i="3"/>
  <c r="J19" i="3"/>
  <c r="J20" i="3" s="1"/>
  <c r="W18" i="3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55" i="2" l="1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X19" i="3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J335" i="8"/>
  <c r="J317" i="8"/>
  <c r="J299" i="8"/>
  <c r="J281" i="8"/>
  <c r="R159" i="11" s="1"/>
  <c r="J263" i="8"/>
  <c r="O159" i="11" s="1"/>
  <c r="J245" i="8"/>
  <c r="L159" i="11" s="1"/>
  <c r="J227" i="8"/>
  <c r="I159" i="11" s="1"/>
  <c r="J209" i="8"/>
  <c r="F159" i="11" s="1"/>
  <c r="J191" i="8"/>
  <c r="C159" i="11" s="1"/>
  <c r="J174" i="8"/>
  <c r="J156" i="8"/>
  <c r="J138" i="8"/>
  <c r="J120" i="8"/>
  <c r="J102" i="8"/>
  <c r="R131" i="11" s="1"/>
  <c r="J84" i="8"/>
  <c r="O131" i="11" s="1"/>
  <c r="J66" i="8"/>
  <c r="L131" i="11" s="1"/>
  <c r="J48" i="8"/>
  <c r="I131" i="11" s="1"/>
  <c r="J30" i="8"/>
  <c r="F131" i="11" s="1"/>
  <c r="J12" i="8"/>
  <c r="C131" i="11" s="1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7" i="14" s="1"/>
  <c r="J68" i="1"/>
  <c r="J49" i="1"/>
  <c r="J50" i="1"/>
  <c r="J14" i="1"/>
  <c r="J14" i="14" s="1"/>
  <c r="J31" i="1"/>
  <c r="J32" i="1"/>
  <c r="J13" i="1"/>
  <c r="J66" i="1"/>
  <c r="J48" i="1"/>
  <c r="J30" i="1"/>
  <c r="J12" i="1"/>
  <c r="X38" i="2" l="1"/>
  <c r="X20" i="2"/>
  <c r="X56" i="2"/>
  <c r="X20" i="3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J119" i="6"/>
  <c r="J67" i="2"/>
  <c r="J50" i="14"/>
  <c r="J68" i="2"/>
  <c r="J155" i="6"/>
  <c r="J406" i="8"/>
  <c r="J478" i="8"/>
  <c r="J32" i="14"/>
  <c r="J49" i="14"/>
  <c r="J66" i="2"/>
  <c r="J351" i="8" l="1"/>
  <c r="J352" i="8"/>
  <c r="J333" i="8"/>
  <c r="J334" i="8"/>
  <c r="J315" i="8"/>
  <c r="J316" i="8"/>
  <c r="J297" i="8"/>
  <c r="J298" i="8"/>
  <c r="J279" i="8"/>
  <c r="R157" i="11" s="1"/>
  <c r="J280" i="8"/>
  <c r="R158" i="11" s="1"/>
  <c r="J261" i="8"/>
  <c r="O157" i="11" s="1"/>
  <c r="J262" i="8"/>
  <c r="O158" i="11" s="1"/>
  <c r="J243" i="8"/>
  <c r="L157" i="11" s="1"/>
  <c r="J244" i="8"/>
  <c r="L158" i="11" s="1"/>
  <c r="J225" i="8"/>
  <c r="I157" i="11" s="1"/>
  <c r="J226" i="8"/>
  <c r="I158" i="11" s="1"/>
  <c r="J207" i="8"/>
  <c r="F157" i="11" s="1"/>
  <c r="J208" i="8"/>
  <c r="F158" i="11" s="1"/>
  <c r="J189" i="8"/>
  <c r="C157" i="11" s="1"/>
  <c r="J190" i="8"/>
  <c r="C158" i="11" s="1"/>
  <c r="J172" i="8"/>
  <c r="J173" i="8"/>
  <c r="J154" i="8"/>
  <c r="J155" i="8"/>
  <c r="J136" i="8"/>
  <c r="J137" i="8"/>
  <c r="J118" i="8"/>
  <c r="J119" i="8"/>
  <c r="J100" i="8"/>
  <c r="R129" i="11" s="1"/>
  <c r="J101" i="8"/>
  <c r="R130" i="11" s="1"/>
  <c r="J82" i="8"/>
  <c r="O129" i="11" s="1"/>
  <c r="J83" i="8"/>
  <c r="O130" i="11" s="1"/>
  <c r="J64" i="8"/>
  <c r="L129" i="11" s="1"/>
  <c r="J65" i="8"/>
  <c r="L130" i="11" s="1"/>
  <c r="J46" i="8"/>
  <c r="I129" i="11" s="1"/>
  <c r="J47" i="8"/>
  <c r="I130" i="11" s="1"/>
  <c r="J28" i="8"/>
  <c r="F129" i="11" s="1"/>
  <c r="J29" i="8"/>
  <c r="F130" i="11" s="1"/>
  <c r="J11" i="8"/>
  <c r="C130" i="11" s="1"/>
  <c r="J10" i="8"/>
  <c r="C129" i="11" s="1"/>
  <c r="J316" i="7"/>
  <c r="J317" i="7"/>
  <c r="J298" i="7"/>
  <c r="J299" i="7"/>
  <c r="J280" i="7"/>
  <c r="J281" i="7"/>
  <c r="J262" i="7"/>
  <c r="R100" i="11" s="1"/>
  <c r="J263" i="7"/>
  <c r="R101" i="11" s="1"/>
  <c r="J244" i="7"/>
  <c r="J245" i="7"/>
  <c r="J226" i="7"/>
  <c r="J227" i="7"/>
  <c r="J208" i="7"/>
  <c r="J209" i="7"/>
  <c r="J190" i="7"/>
  <c r="O100" i="11" s="1"/>
  <c r="J191" i="7"/>
  <c r="O101" i="11" s="1"/>
  <c r="J172" i="7"/>
  <c r="L100" i="11" s="1"/>
  <c r="J173" i="7"/>
  <c r="L101" i="11" s="1"/>
  <c r="J155" i="7"/>
  <c r="J156" i="7"/>
  <c r="J137" i="7"/>
  <c r="J138" i="7"/>
  <c r="I118" i="7"/>
  <c r="J119" i="7"/>
  <c r="J120" i="7"/>
  <c r="J101" i="7"/>
  <c r="R85" i="11" s="1"/>
  <c r="J102" i="7"/>
  <c r="R86" i="11" s="1"/>
  <c r="J83" i="7"/>
  <c r="J84" i="7"/>
  <c r="J65" i="7"/>
  <c r="J66" i="7"/>
  <c r="J47" i="7"/>
  <c r="J48" i="7"/>
  <c r="J29" i="7"/>
  <c r="O85" i="11" s="1"/>
  <c r="J30" i="7"/>
  <c r="O86" i="11" s="1"/>
  <c r="J12" i="7"/>
  <c r="L86" i="11" s="1"/>
  <c r="J11" i="7"/>
  <c r="L85" i="11" s="1"/>
  <c r="J101" i="6"/>
  <c r="J83" i="6"/>
  <c r="J65" i="6"/>
  <c r="J48" i="6"/>
  <c r="J30" i="6"/>
  <c r="J12" i="6"/>
  <c r="J66" i="5"/>
  <c r="J48" i="5"/>
  <c r="J30" i="5"/>
  <c r="J12" i="5"/>
  <c r="J30" i="14" l="1"/>
  <c r="J48" i="14"/>
  <c r="J66" i="14"/>
  <c r="J12" i="14"/>
  <c r="J136" i="6"/>
  <c r="J118" i="6"/>
  <c r="J388" i="7"/>
  <c r="J513" i="8"/>
  <c r="J368" i="8"/>
  <c r="J440" i="8"/>
  <c r="J512" i="8"/>
  <c r="J441" i="8"/>
  <c r="J370" i="7"/>
  <c r="J442" i="7"/>
  <c r="J387" i="8"/>
  <c r="J423" i="8"/>
  <c r="J459" i="8"/>
  <c r="J369" i="7"/>
  <c r="J441" i="7"/>
  <c r="J458" i="8"/>
  <c r="J530" i="8"/>
  <c r="J424" i="7"/>
  <c r="J352" i="7"/>
  <c r="J406" i="7"/>
  <c r="J423" i="7"/>
  <c r="J478" i="7"/>
  <c r="J405" i="8"/>
  <c r="J495" i="8"/>
  <c r="J334" i="7"/>
  <c r="J351" i="7"/>
  <c r="J405" i="7"/>
  <c r="J460" i="7"/>
  <c r="J477" i="7"/>
  <c r="J422" i="8"/>
  <c r="J477" i="8"/>
  <c r="J494" i="8"/>
  <c r="J154" i="6"/>
  <c r="J333" i="7"/>
  <c r="J387" i="7"/>
  <c r="J459" i="7"/>
  <c r="J369" i="8"/>
  <c r="J386" i="8"/>
  <c r="J404" i="8"/>
  <c r="J476" i="8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J153" i="6" l="1"/>
  <c r="J117" i="6"/>
  <c r="J47" i="14"/>
  <c r="J65" i="14"/>
  <c r="J11" i="14"/>
  <c r="J29" i="14"/>
  <c r="J65" i="2"/>
  <c r="X64" i="2" s="1"/>
  <c r="J135" i="6"/>
  <c r="J349" i="8" l="1"/>
  <c r="J350" i="8"/>
  <c r="X349" i="8" s="1"/>
  <c r="J331" i="8"/>
  <c r="L331" i="8" s="1"/>
  <c r="J332" i="8"/>
  <c r="X331" i="8" s="1"/>
  <c r="J313" i="8"/>
  <c r="J314" i="8"/>
  <c r="X313" i="8" s="1"/>
  <c r="J295" i="8"/>
  <c r="L295" i="8" s="1"/>
  <c r="J296" i="8"/>
  <c r="X295" i="8" s="1"/>
  <c r="J277" i="8"/>
  <c r="L277" i="8" s="1"/>
  <c r="J278" i="8"/>
  <c r="J259" i="8"/>
  <c r="J260" i="8"/>
  <c r="J241" i="8"/>
  <c r="L241" i="8" s="1"/>
  <c r="J242" i="8"/>
  <c r="J223" i="8"/>
  <c r="J224" i="8"/>
  <c r="J205" i="8"/>
  <c r="L205" i="8" s="1"/>
  <c r="J206" i="8"/>
  <c r="J187" i="8"/>
  <c r="J188" i="8"/>
  <c r="J170" i="8"/>
  <c r="J171" i="8"/>
  <c r="X170" i="8" s="1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J315" i="7"/>
  <c r="J295" i="7"/>
  <c r="J296" i="7"/>
  <c r="J297" i="7"/>
  <c r="J277" i="7"/>
  <c r="J278" i="7"/>
  <c r="J279" i="7"/>
  <c r="J259" i="7"/>
  <c r="J260" i="7"/>
  <c r="J261" i="7"/>
  <c r="R99" i="11" s="1"/>
  <c r="J241" i="7"/>
  <c r="J242" i="7"/>
  <c r="J243" i="7"/>
  <c r="J223" i="7"/>
  <c r="J224" i="7"/>
  <c r="J225" i="7"/>
  <c r="J205" i="7"/>
  <c r="J206" i="7"/>
  <c r="J207" i="7"/>
  <c r="J187" i="7"/>
  <c r="J188" i="7"/>
  <c r="J189" i="7"/>
  <c r="O99" i="11" s="1"/>
  <c r="J169" i="7"/>
  <c r="J170" i="7"/>
  <c r="J171" i="7"/>
  <c r="L99" i="11" s="1"/>
  <c r="J152" i="7"/>
  <c r="J153" i="7"/>
  <c r="J154" i="7"/>
  <c r="J134" i="7"/>
  <c r="J135" i="7"/>
  <c r="J136" i="7"/>
  <c r="J116" i="7"/>
  <c r="J117" i="7"/>
  <c r="J118" i="7"/>
  <c r="J98" i="7"/>
  <c r="J99" i="7"/>
  <c r="J100" i="7"/>
  <c r="R84" i="11" s="1"/>
  <c r="J80" i="7"/>
  <c r="J81" i="7"/>
  <c r="X80" i="7" s="1"/>
  <c r="J82" i="7"/>
  <c r="J62" i="7"/>
  <c r="J63" i="7"/>
  <c r="J64" i="7"/>
  <c r="J44" i="7"/>
  <c r="J45" i="7"/>
  <c r="J46" i="7"/>
  <c r="J26" i="7"/>
  <c r="J27" i="7"/>
  <c r="J28" i="7"/>
  <c r="O84" i="11" s="1"/>
  <c r="J10" i="7"/>
  <c r="L84" i="11" s="1"/>
  <c r="J9" i="7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X98" i="6" s="1"/>
  <c r="J81" i="6"/>
  <c r="X80" i="6" s="1"/>
  <c r="J63" i="6"/>
  <c r="X62" i="6" s="1"/>
  <c r="J46" i="6"/>
  <c r="X45" i="6" s="1"/>
  <c r="J28" i="6"/>
  <c r="X27" i="6" s="1"/>
  <c r="J10" i="6"/>
  <c r="X9" i="6" s="1"/>
  <c r="J64" i="5"/>
  <c r="X63" i="5" s="1"/>
  <c r="J46" i="5"/>
  <c r="X45" i="5" s="1"/>
  <c r="J28" i="5"/>
  <c r="X27" i="5" s="1"/>
  <c r="J10" i="5"/>
  <c r="X9" i="5" s="1"/>
  <c r="X152" i="8" l="1"/>
  <c r="X510" i="8" s="1"/>
  <c r="L153" i="8"/>
  <c r="X134" i="8"/>
  <c r="L135" i="8"/>
  <c r="X116" i="8"/>
  <c r="L117" i="8"/>
  <c r="X241" i="7"/>
  <c r="X313" i="7"/>
  <c r="X152" i="7"/>
  <c r="X151" i="6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X115" i="6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492" i="8"/>
  <c r="X528" i="8"/>
  <c r="X133" i="6"/>
  <c r="X133" i="8"/>
  <c r="L134" i="8"/>
  <c r="X169" i="8"/>
  <c r="L170" i="8"/>
  <c r="X312" i="8"/>
  <c r="X324" i="8" s="1"/>
  <c r="L313" i="8"/>
  <c r="X348" i="8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X402" i="7"/>
  <c r="L259" i="7"/>
  <c r="T97" i="11" s="1"/>
  <c r="R97" i="11"/>
  <c r="X258" i="7"/>
  <c r="X324" i="7"/>
  <c r="X474" i="7"/>
  <c r="X25" i="8"/>
  <c r="F127" i="11"/>
  <c r="X61" i="8"/>
  <c r="X73" i="8" s="1"/>
  <c r="L127" i="11"/>
  <c r="X97" i="8"/>
  <c r="R127" i="11"/>
  <c r="X204" i="8"/>
  <c r="X216" i="8" s="1"/>
  <c r="F155" i="11"/>
  <c r="X240" i="8"/>
  <c r="X252" i="8" s="1"/>
  <c r="L155" i="11"/>
  <c r="X276" i="8"/>
  <c r="X288" i="8" s="1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J38" i="7" s="1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J128" i="7" s="1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06" i="8" s="1"/>
  <c r="X330" i="8"/>
  <c r="X342" i="8" s="1"/>
  <c r="X37" i="8"/>
  <c r="X109" i="8"/>
  <c r="X145" i="8"/>
  <c r="X181" i="8"/>
  <c r="X455" i="8"/>
  <c r="X491" i="8"/>
  <c r="X527" i="8"/>
  <c r="X360" i="8"/>
  <c r="X325" i="8" s="1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J440" i="7"/>
  <c r="J329" i="7"/>
  <c r="L329" i="7" s="1"/>
  <c r="J349" i="7"/>
  <c r="J134" i="6"/>
  <c r="J421" i="7"/>
  <c r="J332" i="7"/>
  <c r="J385" i="8"/>
  <c r="J384" i="8"/>
  <c r="L384" i="8" s="1"/>
  <c r="J437" i="7"/>
  <c r="L437" i="7" s="1"/>
  <c r="J475" i="8"/>
  <c r="J366" i="7"/>
  <c r="L366" i="7" s="1"/>
  <c r="J476" i="7"/>
  <c r="J474" i="8"/>
  <c r="L474" i="8" s="1"/>
  <c r="J421" i="8"/>
  <c r="J457" i="8"/>
  <c r="J420" i="8"/>
  <c r="L420" i="8" s="1"/>
  <c r="J367" i="8"/>
  <c r="J403" i="8"/>
  <c r="J455" i="7"/>
  <c r="L455" i="7" s="1"/>
  <c r="J350" i="7"/>
  <c r="J422" i="7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J348" i="7"/>
  <c r="L348" i="7" s="1"/>
  <c r="J386" i="7"/>
  <c r="J403" i="7"/>
  <c r="J420" i="7"/>
  <c r="L420" i="7" s="1"/>
  <c r="J458" i="7"/>
  <c r="J475" i="7"/>
  <c r="J404" i="7"/>
  <c r="J438" i="7"/>
  <c r="L438" i="7" s="1"/>
  <c r="J383" i="7"/>
  <c r="L383" i="7" s="1"/>
  <c r="J401" i="7"/>
  <c r="L401" i="7" s="1"/>
  <c r="J367" i="7"/>
  <c r="J384" i="7"/>
  <c r="L384" i="7" s="1"/>
  <c r="J439" i="7"/>
  <c r="J116" i="6"/>
  <c r="J385" i="7"/>
  <c r="J152" i="6"/>
  <c r="J365" i="7"/>
  <c r="L365" i="7" s="1"/>
  <c r="J402" i="7"/>
  <c r="L402" i="7" s="1"/>
  <c r="J457" i="7"/>
  <c r="J439" i="8"/>
  <c r="J492" i="8"/>
  <c r="L492" i="8" s="1"/>
  <c r="J528" i="8"/>
  <c r="L528" i="8" s="1"/>
  <c r="J438" i="8"/>
  <c r="L438" i="8" s="1"/>
  <c r="J511" i="8"/>
  <c r="J366" i="8"/>
  <c r="L366" i="8" s="1"/>
  <c r="J510" i="8"/>
  <c r="L510" i="8" s="1"/>
  <c r="J402" i="8"/>
  <c r="L402" i="8" s="1"/>
  <c r="J456" i="8"/>
  <c r="L456" i="8" s="1"/>
  <c r="J493" i="8"/>
  <c r="J529" i="8"/>
  <c r="X270" i="8" l="1"/>
  <c r="X234" i="8"/>
  <c r="X235" i="8" s="1"/>
  <c r="X420" i="8"/>
  <c r="X438" i="8"/>
  <c r="X366" i="8"/>
  <c r="X456" i="8"/>
  <c r="X384" i="8"/>
  <c r="X402" i="8"/>
  <c r="X146" i="8"/>
  <c r="X419" i="8"/>
  <c r="X383" i="8"/>
  <c r="X145" i="7"/>
  <c r="X234" i="7"/>
  <c r="X383" i="7"/>
  <c r="J92" i="7"/>
  <c r="X253" i="8"/>
  <c r="X127" i="7"/>
  <c r="X55" i="7"/>
  <c r="X19" i="7"/>
  <c r="X306" i="7"/>
  <c r="X455" i="7"/>
  <c r="X473" i="7"/>
  <c r="X329" i="7"/>
  <c r="X180" i="7"/>
  <c r="X365" i="7"/>
  <c r="X216" i="7"/>
  <c r="X343" i="8"/>
  <c r="X270" i="7"/>
  <c r="X419" i="7"/>
  <c r="X384" i="7"/>
  <c r="X420" i="7"/>
  <c r="X348" i="7"/>
  <c r="X37" i="7"/>
  <c r="X366" i="7"/>
  <c r="X91" i="7"/>
  <c r="X271" i="8"/>
  <c r="X347" i="7"/>
  <c r="X198" i="7"/>
  <c r="X437" i="7"/>
  <c r="X288" i="7"/>
  <c r="X307" i="8"/>
  <c r="X289" i="8"/>
  <c r="X217" i="8"/>
  <c r="X330" i="7"/>
  <c r="X109" i="7"/>
  <c r="X73" i="7"/>
  <c r="X438" i="7"/>
  <c r="X163" i="7"/>
  <c r="X485" i="7" s="1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128" i="8" s="1"/>
  <c r="X38" i="8"/>
  <c r="X401" i="8"/>
  <c r="X91" i="8"/>
  <c r="X92" i="8" s="1"/>
  <c r="X503" i="8"/>
  <c r="X467" i="8"/>
  <c r="X431" i="8"/>
  <c r="X395" i="8"/>
  <c r="X74" i="8"/>
  <c r="X509" i="8"/>
  <c r="X198" i="8"/>
  <c r="X199" i="8" s="1"/>
  <c r="X365" i="8"/>
  <c r="X55" i="8"/>
  <c r="X56" i="8" s="1"/>
  <c r="X539" i="8"/>
  <c r="X437" i="8"/>
  <c r="X110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92" i="7" l="1"/>
  <c r="X74" i="7"/>
  <c r="J64" i="14"/>
  <c r="X63" i="14" s="1"/>
  <c r="X63" i="1"/>
  <c r="J10" i="14"/>
  <c r="X9" i="14" s="1"/>
  <c r="X9" i="1"/>
  <c r="J28" i="14"/>
  <c r="X27" i="14" s="1"/>
  <c r="X27" i="1"/>
  <c r="J46" i="14"/>
  <c r="X45" i="14" s="1"/>
  <c r="X45" i="1"/>
  <c r="X110" i="7"/>
  <c r="X38" i="7"/>
  <c r="X128" i="7"/>
  <c r="X377" i="7"/>
  <c r="X378" i="7" s="1"/>
  <c r="X217" i="7"/>
  <c r="X359" i="7"/>
  <c r="X360" i="7" s="1"/>
  <c r="X199" i="7"/>
  <c r="X56" i="7"/>
  <c r="X146" i="7"/>
  <c r="X449" i="7"/>
  <c r="X450" i="7" s="1"/>
  <c r="X289" i="7"/>
  <c r="X271" i="7"/>
  <c r="X431" i="7"/>
  <c r="X432" i="7" s="1"/>
  <c r="X467" i="7"/>
  <c r="X468" i="7" s="1"/>
  <c r="X307" i="7"/>
  <c r="X20" i="7"/>
  <c r="X235" i="7"/>
  <c r="X395" i="7"/>
  <c r="X396" i="7" s="1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L169" i="8" s="1"/>
  <c r="J151" i="8"/>
  <c r="L151" i="8" s="1"/>
  <c r="J133" i="8"/>
  <c r="L133" i="8" s="1"/>
  <c r="J115" i="8"/>
  <c r="L115" i="8" s="1"/>
  <c r="J97" i="8"/>
  <c r="J79" i="8"/>
  <c r="J61" i="8"/>
  <c r="J43" i="8"/>
  <c r="J25" i="8"/>
  <c r="J7" i="8"/>
  <c r="X63" i="2" l="1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375" i="8" s="1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537" i="8" l="1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W68" i="8" l="1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W225" i="8"/>
  <c r="W298" i="8"/>
  <c r="W297" i="8"/>
  <c r="W351" i="8"/>
  <c r="W136" i="8"/>
  <c r="W154" i="8"/>
  <c r="W11" i="8"/>
  <c r="W10" i="8"/>
  <c r="W64" i="8"/>
  <c r="W83" i="8"/>
  <c r="W82" i="8"/>
  <c r="W173" i="8"/>
  <c r="W244" i="8"/>
  <c r="W243" i="8"/>
  <c r="W316" i="8"/>
  <c r="W315" i="8"/>
  <c r="W28" i="8"/>
  <c r="W101" i="8"/>
  <c r="W100" i="8"/>
  <c r="W119" i="8"/>
  <c r="W172" i="8"/>
  <c r="W190" i="8"/>
  <c r="W189" i="8"/>
  <c r="W262" i="8"/>
  <c r="W261" i="8"/>
  <c r="W334" i="8"/>
  <c r="W333" i="8"/>
  <c r="W155" i="8"/>
  <c r="W29" i="8"/>
  <c r="W47" i="8"/>
  <c r="W46" i="8"/>
  <c r="W118" i="8"/>
  <c r="W137" i="8"/>
  <c r="W208" i="8"/>
  <c r="W207" i="8"/>
  <c r="W280" i="8"/>
  <c r="W279" i="8"/>
  <c r="W352" i="8"/>
  <c r="V171" i="8"/>
  <c r="W152" i="8"/>
  <c r="Y152" i="8" s="1"/>
  <c r="W9" i="8"/>
  <c r="W8" i="8"/>
  <c r="Y8" i="8" s="1"/>
  <c r="W80" i="8"/>
  <c r="Y80" i="8" s="1"/>
  <c r="V117" i="8"/>
  <c r="W116" i="8"/>
  <c r="Y116" i="8" s="1"/>
  <c r="W242" i="8"/>
  <c r="W241" i="8"/>
  <c r="Y241" i="8" s="1"/>
  <c r="W314" i="8"/>
  <c r="W313" i="8"/>
  <c r="Y313" i="8" s="1"/>
  <c r="W350" i="8"/>
  <c r="W224" i="8"/>
  <c r="W296" i="8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W187" i="8"/>
  <c r="Y187" i="8" s="1"/>
  <c r="W260" i="8"/>
  <c r="W259" i="8"/>
  <c r="Y259" i="8" s="1"/>
  <c r="W332" i="8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W205" i="8"/>
  <c r="Y205" i="8" s="1"/>
  <c r="W278" i="8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S82" i="8"/>
  <c r="S81" i="8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S64" i="8"/>
  <c r="S63" i="8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S156" i="8"/>
  <c r="S153" i="8"/>
  <c r="S155" i="8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S28" i="8"/>
  <c r="S27" i="8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S99" i="8"/>
  <c r="S106" i="8"/>
  <c r="S104" i="8"/>
  <c r="S102" i="8"/>
  <c r="S100" i="8"/>
  <c r="S98" i="8"/>
  <c r="Z98" i="8" s="1"/>
  <c r="W97" i="8"/>
  <c r="Y97" i="8" s="1"/>
  <c r="S115" i="8"/>
  <c r="Z115" i="8" s="1"/>
  <c r="S116" i="8"/>
  <c r="Z116" i="8" s="1"/>
  <c r="S117" i="8"/>
  <c r="S118" i="8"/>
  <c r="S119" i="8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S172" i="8"/>
  <c r="S173" i="8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S46" i="8"/>
  <c r="S45" i="8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S136" i="8"/>
  <c r="S137" i="8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H131" i="1" s="1"/>
  <c r="G61" i="1"/>
  <c r="G131" i="1" s="1"/>
  <c r="F61" i="1"/>
  <c r="E61" i="1"/>
  <c r="D61" i="1"/>
  <c r="D131" i="1" s="1"/>
  <c r="C61" i="1"/>
  <c r="C131" i="1" s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I114" i="1" s="1"/>
  <c r="H43" i="1"/>
  <c r="G43" i="1"/>
  <c r="F43" i="1"/>
  <c r="E43" i="1"/>
  <c r="E114" i="1" s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J97" i="1" s="1"/>
  <c r="I25" i="1"/>
  <c r="H25" i="1"/>
  <c r="G25" i="1"/>
  <c r="F25" i="1"/>
  <c r="F97" i="1" s="1"/>
  <c r="E25" i="1"/>
  <c r="D25" i="1"/>
  <c r="C25" i="1"/>
  <c r="B25" i="1"/>
  <c r="B97" i="1" s="1"/>
  <c r="B101" i="1" s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168" i="6" s="1"/>
  <c r="J62" i="5"/>
  <c r="J44" i="5"/>
  <c r="J26" i="5"/>
  <c r="J8" i="5"/>
  <c r="D80" i="1" l="1"/>
  <c r="H80" i="1"/>
  <c r="B131" i="1"/>
  <c r="B135" i="1" s="1"/>
  <c r="F131" i="1"/>
  <c r="F135" i="1" s="1"/>
  <c r="J131" i="1"/>
  <c r="L25" i="6"/>
  <c r="T36" i="11" s="1"/>
  <c r="J183" i="6"/>
  <c r="B114" i="1"/>
  <c r="B118" i="1" s="1"/>
  <c r="I118" i="1"/>
  <c r="J119" i="1"/>
  <c r="J118" i="1"/>
  <c r="K119" i="1"/>
  <c r="C136" i="1"/>
  <c r="C135" i="1"/>
  <c r="J172" i="6"/>
  <c r="K173" i="6"/>
  <c r="C114" i="1"/>
  <c r="G114" i="1"/>
  <c r="D135" i="1"/>
  <c r="D136" i="1"/>
  <c r="H135" i="1"/>
  <c r="H136" i="1"/>
  <c r="E118" i="1"/>
  <c r="J135" i="1"/>
  <c r="K136" i="1"/>
  <c r="F114" i="1"/>
  <c r="G136" i="1"/>
  <c r="G135" i="1"/>
  <c r="D114" i="1"/>
  <c r="H114" i="1"/>
  <c r="E131" i="1"/>
  <c r="I131" i="1"/>
  <c r="J136" i="1" s="1"/>
  <c r="X43" i="5"/>
  <c r="L44" i="5"/>
  <c r="X61" i="5"/>
  <c r="L62" i="5"/>
  <c r="T8" i="11" s="1"/>
  <c r="X7" i="5"/>
  <c r="L8" i="5"/>
  <c r="X25" i="5"/>
  <c r="L26" i="5"/>
  <c r="E97" i="1"/>
  <c r="F102" i="1" s="1"/>
  <c r="I97" i="1"/>
  <c r="I101" i="1" s="1"/>
  <c r="J101" i="1"/>
  <c r="K102" i="1"/>
  <c r="C97" i="1"/>
  <c r="G97" i="1"/>
  <c r="F101" i="1"/>
  <c r="D97" i="1"/>
  <c r="H97" i="1"/>
  <c r="I80" i="1"/>
  <c r="I84" i="1" s="1"/>
  <c r="E80" i="1"/>
  <c r="E85" i="1"/>
  <c r="E84" i="1"/>
  <c r="I85" i="1"/>
  <c r="D84" i="1"/>
  <c r="B80" i="1"/>
  <c r="B84" i="1" s="1"/>
  <c r="F80" i="1"/>
  <c r="L7" i="1"/>
  <c r="K22" i="10" s="1"/>
  <c r="J80" i="1"/>
  <c r="H84" i="1"/>
  <c r="C80" i="1"/>
  <c r="G80" i="1"/>
  <c r="H85" i="1" s="1"/>
  <c r="X78" i="6"/>
  <c r="X43" i="6"/>
  <c r="X25" i="1"/>
  <c r="L26" i="1"/>
  <c r="N23" i="10" s="1"/>
  <c r="X60" i="6"/>
  <c r="X7" i="1"/>
  <c r="X19" i="1" s="1"/>
  <c r="L8" i="1"/>
  <c r="K23" i="10" s="1"/>
  <c r="X43" i="1"/>
  <c r="X55" i="1" s="1"/>
  <c r="L44" i="1"/>
  <c r="Q23" i="10" s="1"/>
  <c r="X73" i="5"/>
  <c r="X55" i="5"/>
  <c r="X19" i="5"/>
  <c r="X37" i="5"/>
  <c r="K9" i="13"/>
  <c r="X7" i="12"/>
  <c r="R22" i="11"/>
  <c r="X96" i="6"/>
  <c r="X55" i="6"/>
  <c r="X37" i="1"/>
  <c r="X90" i="6"/>
  <c r="R37" i="11"/>
  <c r="X25" i="6"/>
  <c r="O8" i="10"/>
  <c r="X61" i="1"/>
  <c r="O37" i="11"/>
  <c r="X7" i="6"/>
  <c r="X72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W31" i="1"/>
  <c r="W32" i="1"/>
  <c r="W66" i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W14" i="1"/>
  <c r="W13" i="1"/>
  <c r="W14" i="3"/>
  <c r="W13" i="3"/>
  <c r="W514" i="8"/>
  <c r="W442" i="8"/>
  <c r="W458" i="8"/>
  <c r="W513" i="8"/>
  <c r="W368" i="8"/>
  <c r="W422" i="8"/>
  <c r="W530" i="8"/>
  <c r="W477" i="8"/>
  <c r="W387" i="8"/>
  <c r="W440" i="8"/>
  <c r="W494" i="8"/>
  <c r="W404" i="8"/>
  <c r="W47" i="1"/>
  <c r="W48" i="1"/>
  <c r="Q12" i="10"/>
  <c r="W459" i="8"/>
  <c r="W512" i="8"/>
  <c r="W369" i="8"/>
  <c r="W423" i="8"/>
  <c r="W476" i="8"/>
  <c r="W11" i="3"/>
  <c r="W12" i="3"/>
  <c r="W531" i="8"/>
  <c r="W386" i="8"/>
  <c r="W441" i="8"/>
  <c r="W495" i="8"/>
  <c r="W405" i="8"/>
  <c r="W11" i="1"/>
  <c r="W29" i="1"/>
  <c r="W65" i="1"/>
  <c r="Q11" i="10"/>
  <c r="W46" i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W10" i="3"/>
  <c r="W419" i="8"/>
  <c r="Y419" i="8" s="1"/>
  <c r="W384" i="8"/>
  <c r="Y384" i="8" s="1"/>
  <c r="W510" i="8"/>
  <c r="Y510" i="8" s="1"/>
  <c r="W367" i="8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I395" i="8"/>
  <c r="J397" i="8" s="1"/>
  <c r="Q10" i="10"/>
  <c r="I377" i="8"/>
  <c r="J379" i="8" s="1"/>
  <c r="W28" i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J62" i="2"/>
  <c r="E101" i="1" l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G191" i="12" s="1"/>
  <c r="F126" i="12"/>
  <c r="E126" i="12"/>
  <c r="E191" i="12" s="1"/>
  <c r="D126" i="12"/>
  <c r="C126" i="12"/>
  <c r="C191" i="12" s="1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J175" i="12" s="1"/>
  <c r="I109" i="12"/>
  <c r="H109" i="12"/>
  <c r="H175" i="12" s="1"/>
  <c r="G109" i="12"/>
  <c r="F109" i="12"/>
  <c r="F175" i="12" s="1"/>
  <c r="E109" i="12"/>
  <c r="D109" i="12"/>
  <c r="D175" i="12" s="1"/>
  <c r="C109" i="12"/>
  <c r="B109" i="12"/>
  <c r="B175" i="12" s="1"/>
  <c r="B179" i="12" s="1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I160" i="12" s="1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D160" i="12" l="1"/>
  <c r="C175" i="12"/>
  <c r="G175" i="12"/>
  <c r="B191" i="12"/>
  <c r="B195" i="12" s="1"/>
  <c r="F191" i="12"/>
  <c r="B160" i="12"/>
  <c r="B164" i="12" s="1"/>
  <c r="E175" i="12"/>
  <c r="I175" i="12"/>
  <c r="D191" i="12"/>
  <c r="H191" i="12"/>
  <c r="F160" i="12"/>
  <c r="G165" i="12" s="1"/>
  <c r="J165" i="12"/>
  <c r="J164" i="12"/>
  <c r="K165" i="12"/>
  <c r="E179" i="12"/>
  <c r="E180" i="12"/>
  <c r="I180" i="12"/>
  <c r="I179" i="12"/>
  <c r="D195" i="12"/>
  <c r="D196" i="12"/>
  <c r="H195" i="12"/>
  <c r="H196" i="12"/>
  <c r="C164" i="12"/>
  <c r="C165" i="12"/>
  <c r="G164" i="12"/>
  <c r="F179" i="12"/>
  <c r="F180" i="12"/>
  <c r="J180" i="12"/>
  <c r="J179" i="12"/>
  <c r="K180" i="12"/>
  <c r="E196" i="12"/>
  <c r="E195" i="12"/>
  <c r="I195" i="12"/>
  <c r="I196" i="12"/>
  <c r="D164" i="12"/>
  <c r="D165" i="12"/>
  <c r="H160" i="12"/>
  <c r="C180" i="12"/>
  <c r="C179" i="12"/>
  <c r="G179" i="12"/>
  <c r="G180" i="12"/>
  <c r="F195" i="12"/>
  <c r="F196" i="12"/>
  <c r="J195" i="12"/>
  <c r="J196" i="12"/>
  <c r="K196" i="12"/>
  <c r="E165" i="12"/>
  <c r="E164" i="12"/>
  <c r="I164" i="12"/>
  <c r="I165" i="12"/>
  <c r="D179" i="12"/>
  <c r="D180" i="12"/>
  <c r="H179" i="12"/>
  <c r="H180" i="12"/>
  <c r="C195" i="12"/>
  <c r="C196" i="12"/>
  <c r="G196" i="12"/>
  <c r="G195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W13" i="7"/>
  <c r="W14" i="7"/>
  <c r="W15" i="7"/>
  <c r="W30" i="7"/>
  <c r="W31" i="7"/>
  <c r="W32" i="7"/>
  <c r="W33" i="7"/>
  <c r="W48" i="7"/>
  <c r="W49" i="7"/>
  <c r="W50" i="7"/>
  <c r="W51" i="7"/>
  <c r="W120" i="7"/>
  <c r="W121" i="7"/>
  <c r="W122" i="7"/>
  <c r="W123" i="7"/>
  <c r="W138" i="7"/>
  <c r="W139" i="7"/>
  <c r="W140" i="7"/>
  <c r="W141" i="7"/>
  <c r="W156" i="7"/>
  <c r="W157" i="7"/>
  <c r="W158" i="7"/>
  <c r="W159" i="7"/>
  <c r="W173" i="7"/>
  <c r="W334" i="7" s="1"/>
  <c r="W174" i="7"/>
  <c r="W175" i="7"/>
  <c r="W176" i="7"/>
  <c r="W193" i="7"/>
  <c r="W227" i="7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W67" i="7"/>
  <c r="W68" i="7"/>
  <c r="W69" i="7"/>
  <c r="W84" i="7"/>
  <c r="W85" i="7"/>
  <c r="W86" i="7"/>
  <c r="W87" i="7"/>
  <c r="W102" i="7"/>
  <c r="W103" i="7"/>
  <c r="W104" i="7"/>
  <c r="W105" i="7"/>
  <c r="W192" i="7"/>
  <c r="W209" i="7"/>
  <c r="W210" i="7"/>
  <c r="W211" i="7"/>
  <c r="W212" i="7"/>
  <c r="W245" i="7"/>
  <c r="W246" i="7"/>
  <c r="W247" i="7"/>
  <c r="W248" i="7"/>
  <c r="W263" i="7"/>
  <c r="W264" i="7"/>
  <c r="W265" i="7"/>
  <c r="W266" i="7"/>
  <c r="W282" i="7"/>
  <c r="W299" i="7"/>
  <c r="W300" i="7"/>
  <c r="W301" i="7"/>
  <c r="W302" i="7"/>
  <c r="W317" i="7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W281" i="7"/>
  <c r="W81" i="12"/>
  <c r="M29" i="13"/>
  <c r="W63" i="12"/>
  <c r="W64" i="12"/>
  <c r="P44" i="13"/>
  <c r="W132" i="12"/>
  <c r="W13" i="12"/>
  <c r="P29" i="13"/>
  <c r="W29" i="12"/>
  <c r="W30" i="12"/>
  <c r="W98" i="12"/>
  <c r="P59" i="13"/>
  <c r="W46" i="12"/>
  <c r="W47" i="12"/>
  <c r="W115" i="12"/>
  <c r="W96" i="12"/>
  <c r="W97" i="12"/>
  <c r="W190" i="7"/>
  <c r="W280" i="7"/>
  <c r="W114" i="12"/>
  <c r="W10" i="7"/>
  <c r="W28" i="7"/>
  <c r="W29" i="7"/>
  <c r="W46" i="7"/>
  <c r="W47" i="7"/>
  <c r="W118" i="7"/>
  <c r="W119" i="7"/>
  <c r="W136" i="7"/>
  <c r="W137" i="7"/>
  <c r="W154" i="7"/>
  <c r="W155" i="7"/>
  <c r="W171" i="7"/>
  <c r="W172" i="7"/>
  <c r="W225" i="7"/>
  <c r="W226" i="7"/>
  <c r="M28" i="13"/>
  <c r="P43" i="13"/>
  <c r="W131" i="12"/>
  <c r="P58" i="13"/>
  <c r="W11" i="7"/>
  <c r="W64" i="7"/>
  <c r="W65" i="7"/>
  <c r="W82" i="7"/>
  <c r="W83" i="7"/>
  <c r="W100" i="7"/>
  <c r="W101" i="7"/>
  <c r="W207" i="7"/>
  <c r="W208" i="7"/>
  <c r="W243" i="7"/>
  <c r="W244" i="7"/>
  <c r="W261" i="7"/>
  <c r="W262" i="7"/>
  <c r="W297" i="7"/>
  <c r="W298" i="7"/>
  <c r="W315" i="7"/>
  <c r="W316" i="7"/>
  <c r="W12" i="12"/>
  <c r="W80" i="12"/>
  <c r="P28" i="13"/>
  <c r="W11" i="12"/>
  <c r="W79" i="12"/>
  <c r="P27" i="13"/>
  <c r="W27" i="12"/>
  <c r="W28" i="12"/>
  <c r="P57" i="13"/>
  <c r="W45" i="12"/>
  <c r="W113" i="12"/>
  <c r="M27" i="13"/>
  <c r="W62" i="12"/>
  <c r="P42" i="13"/>
  <c r="W130" i="12"/>
  <c r="W44" i="12"/>
  <c r="W112" i="12"/>
  <c r="W78" i="12"/>
  <c r="P26" i="13"/>
  <c r="W95" i="12"/>
  <c r="P56" i="13"/>
  <c r="W10" i="12"/>
  <c r="M26" i="13"/>
  <c r="W61" i="12"/>
  <c r="P41" i="13"/>
  <c r="W129" i="12"/>
  <c r="I37" i="7"/>
  <c r="J39" i="7" s="1"/>
  <c r="W25" i="7"/>
  <c r="Y25" i="7" s="1"/>
  <c r="W26" i="7"/>
  <c r="Y26" i="7" s="1"/>
  <c r="W27" i="7"/>
  <c r="W276" i="7"/>
  <c r="Y276" i="7" s="1"/>
  <c r="W188" i="7"/>
  <c r="W204" i="7"/>
  <c r="Y204" i="7" s="1"/>
  <c r="W205" i="7"/>
  <c r="Y205" i="7" s="1"/>
  <c r="W206" i="7"/>
  <c r="W240" i="7"/>
  <c r="Y240" i="7" s="1"/>
  <c r="W241" i="7"/>
  <c r="Y241" i="7" s="1"/>
  <c r="W242" i="7"/>
  <c r="W258" i="7"/>
  <c r="Y258" i="7" s="1"/>
  <c r="W259" i="7"/>
  <c r="Y259" i="7" s="1"/>
  <c r="W260" i="7"/>
  <c r="W278" i="7"/>
  <c r="W294" i="7"/>
  <c r="Y294" i="7" s="1"/>
  <c r="W295" i="7"/>
  <c r="Y295" i="7" s="1"/>
  <c r="W296" i="7"/>
  <c r="W312" i="7"/>
  <c r="Y312" i="7" s="1"/>
  <c r="W313" i="7"/>
  <c r="Y313" i="7" s="1"/>
  <c r="W314" i="7"/>
  <c r="W277" i="7"/>
  <c r="Y277" i="7" s="1"/>
  <c r="I55" i="7"/>
  <c r="J57" i="7" s="1"/>
  <c r="W187" i="7"/>
  <c r="Y187" i="7" s="1"/>
  <c r="W7" i="7"/>
  <c r="Y7" i="7" s="1"/>
  <c r="W8" i="7"/>
  <c r="Y8" i="7" s="1"/>
  <c r="W9" i="7"/>
  <c r="W43" i="7"/>
  <c r="Y43" i="7" s="1"/>
  <c r="W44" i="7"/>
  <c r="Y44" i="7" s="1"/>
  <c r="W45" i="7"/>
  <c r="W186" i="7"/>
  <c r="Y186" i="7" s="1"/>
  <c r="W61" i="7"/>
  <c r="Y61" i="7" s="1"/>
  <c r="W62" i="7"/>
  <c r="Y62" i="7" s="1"/>
  <c r="W63" i="7"/>
  <c r="W79" i="7"/>
  <c r="Y79" i="7" s="1"/>
  <c r="W80" i="7"/>
  <c r="Y80" i="7" s="1"/>
  <c r="W81" i="7"/>
  <c r="W97" i="7"/>
  <c r="Y97" i="7" s="1"/>
  <c r="W98" i="7"/>
  <c r="Y98" i="7" s="1"/>
  <c r="W99" i="7"/>
  <c r="W115" i="7"/>
  <c r="Y115" i="7" s="1"/>
  <c r="W116" i="7"/>
  <c r="Y116" i="7" s="1"/>
  <c r="W117" i="7"/>
  <c r="W133" i="7"/>
  <c r="Y133" i="7" s="1"/>
  <c r="W134" i="7"/>
  <c r="Y134" i="7" s="1"/>
  <c r="W135" i="7"/>
  <c r="W151" i="7"/>
  <c r="Y151" i="7" s="1"/>
  <c r="W152" i="7"/>
  <c r="Y152" i="7" s="1"/>
  <c r="W153" i="7"/>
  <c r="W168" i="7"/>
  <c r="Y168" i="7" s="1"/>
  <c r="W169" i="7"/>
  <c r="Y169" i="7" s="1"/>
  <c r="W170" i="7"/>
  <c r="W189" i="7"/>
  <c r="I234" i="7"/>
  <c r="J236" i="7" s="1"/>
  <c r="W222" i="7"/>
  <c r="Y222" i="7" s="1"/>
  <c r="W223" i="7"/>
  <c r="Y223" i="7" s="1"/>
  <c r="W224" i="7"/>
  <c r="W279" i="7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H164" i="12" l="1"/>
  <c r="H165" i="12"/>
  <c r="F164" i="12"/>
  <c r="F165" i="12"/>
  <c r="X56" i="14"/>
  <c r="X20" i="14"/>
  <c r="X38" i="14"/>
  <c r="W424" i="7"/>
  <c r="W446" i="7"/>
  <c r="W338" i="7"/>
  <c r="W428" i="7"/>
  <c r="W410" i="7"/>
  <c r="W392" i="7"/>
  <c r="W482" i="7"/>
  <c r="W464" i="7"/>
  <c r="X126" i="6"/>
  <c r="W460" i="7"/>
  <c r="I395" i="7"/>
  <c r="J397" i="7" s="1"/>
  <c r="W370" i="7"/>
  <c r="W442" i="7"/>
  <c r="W352" i="7"/>
  <c r="I235" i="7"/>
  <c r="W478" i="7"/>
  <c r="W73" i="7"/>
  <c r="W374" i="7"/>
  <c r="W465" i="7"/>
  <c r="W483" i="7"/>
  <c r="W447" i="7"/>
  <c r="W429" i="7"/>
  <c r="W411" i="7"/>
  <c r="W375" i="7"/>
  <c r="W357" i="7"/>
  <c r="W393" i="7"/>
  <c r="W339" i="7"/>
  <c r="W406" i="7"/>
  <c r="W332" i="7"/>
  <c r="W480" i="7"/>
  <c r="W426" i="7"/>
  <c r="W373" i="7"/>
  <c r="W371" i="7"/>
  <c r="W353" i="7"/>
  <c r="W444" i="7"/>
  <c r="W388" i="7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W422" i="7"/>
  <c r="W404" i="7"/>
  <c r="W458" i="7"/>
  <c r="W368" i="7"/>
  <c r="I110" i="7"/>
  <c r="W476" i="7"/>
  <c r="W369" i="7"/>
  <c r="I199" i="7"/>
  <c r="W405" i="7"/>
  <c r="W477" i="7"/>
  <c r="W387" i="7"/>
  <c r="W351" i="7"/>
  <c r="W423" i="7"/>
  <c r="W441" i="7"/>
  <c r="W459" i="7"/>
  <c r="W333" i="7"/>
  <c r="I271" i="7"/>
  <c r="I253" i="7"/>
  <c r="I413" i="7"/>
  <c r="J415" i="7" s="1"/>
  <c r="W456" i="7"/>
  <c r="Y456" i="7" s="1"/>
  <c r="W421" i="7"/>
  <c r="W366" i="7"/>
  <c r="Y366" i="7" s="1"/>
  <c r="I431" i="7"/>
  <c r="J433" i="7" s="1"/>
  <c r="W384" i="7"/>
  <c r="Y384" i="7" s="1"/>
  <c r="W198" i="7"/>
  <c r="W347" i="7"/>
  <c r="Y347" i="7" s="1"/>
  <c r="W19" i="7"/>
  <c r="W475" i="7"/>
  <c r="W270" i="7"/>
  <c r="W419" i="7"/>
  <c r="Y419" i="7" s="1"/>
  <c r="W403" i="7"/>
  <c r="W252" i="7"/>
  <c r="W401" i="7"/>
  <c r="Y401" i="7" s="1"/>
  <c r="W349" i="7"/>
  <c r="W330" i="7"/>
  <c r="Y330" i="7" s="1"/>
  <c r="W473" i="7"/>
  <c r="Y473" i="7" s="1"/>
  <c r="W324" i="7"/>
  <c r="X325" i="7" s="1"/>
  <c r="W439" i="7"/>
  <c r="W402" i="7"/>
  <c r="Y402" i="7" s="1"/>
  <c r="W37" i="7"/>
  <c r="I449" i="7"/>
  <c r="J451" i="7" s="1"/>
  <c r="I377" i="7"/>
  <c r="J379" i="7" s="1"/>
  <c r="W440" i="7"/>
  <c r="W385" i="7"/>
  <c r="W350" i="7"/>
  <c r="W331" i="7"/>
  <c r="W91" i="7"/>
  <c r="W438" i="7"/>
  <c r="Y438" i="7" s="1"/>
  <c r="W457" i="7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D243" i="6" s="1"/>
  <c r="C96" i="6"/>
  <c r="B96" i="6"/>
  <c r="B243" i="6" s="1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G228" i="6" s="1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B198" i="6" l="1"/>
  <c r="F198" i="6"/>
  <c r="E213" i="6"/>
  <c r="I213" i="6"/>
  <c r="I258" i="6" s="1"/>
  <c r="D228" i="6"/>
  <c r="H228" i="6"/>
  <c r="C243" i="6"/>
  <c r="G243" i="6"/>
  <c r="G248" i="6" s="1"/>
  <c r="E198" i="6"/>
  <c r="I198" i="6"/>
  <c r="D213" i="6"/>
  <c r="H213" i="6"/>
  <c r="H217" i="6" s="1"/>
  <c r="C228" i="6"/>
  <c r="F243" i="6"/>
  <c r="C198" i="6"/>
  <c r="C202" i="6" s="1"/>
  <c r="G198" i="6"/>
  <c r="B213" i="6"/>
  <c r="F213" i="6"/>
  <c r="H243" i="6"/>
  <c r="E187" i="6"/>
  <c r="E188" i="6"/>
  <c r="I202" i="6"/>
  <c r="D217" i="6"/>
  <c r="D258" i="6"/>
  <c r="L96" i="6"/>
  <c r="T21" i="11" s="1"/>
  <c r="J243" i="6"/>
  <c r="F173" i="6"/>
  <c r="F172" i="6"/>
  <c r="F187" i="6"/>
  <c r="F188" i="6"/>
  <c r="C203" i="6"/>
  <c r="B202" i="6"/>
  <c r="F203" i="6"/>
  <c r="F202" i="6"/>
  <c r="L43" i="6"/>
  <c r="J198" i="6"/>
  <c r="E218" i="6"/>
  <c r="E258" i="6"/>
  <c r="E217" i="6"/>
  <c r="I218" i="6"/>
  <c r="D233" i="6"/>
  <c r="D273" i="6"/>
  <c r="D232" i="6"/>
  <c r="H232" i="6"/>
  <c r="H273" i="6"/>
  <c r="H233" i="6"/>
  <c r="C288" i="6"/>
  <c r="C247" i="6"/>
  <c r="C248" i="6"/>
  <c r="I187" i="6"/>
  <c r="I188" i="6"/>
  <c r="J188" i="6"/>
  <c r="C273" i="6"/>
  <c r="C232" i="6"/>
  <c r="B247" i="6"/>
  <c r="B288" i="6"/>
  <c r="B292" i="6" s="1"/>
  <c r="C172" i="6"/>
  <c r="C173" i="6"/>
  <c r="G172" i="6"/>
  <c r="G173" i="6"/>
  <c r="C188" i="6"/>
  <c r="C187" i="6"/>
  <c r="G187" i="6"/>
  <c r="G188" i="6"/>
  <c r="B217" i="6"/>
  <c r="B258" i="6"/>
  <c r="B262" i="6" s="1"/>
  <c r="F258" i="6"/>
  <c r="F217" i="6"/>
  <c r="F218" i="6"/>
  <c r="L60" i="6"/>
  <c r="Q51" i="11" s="1"/>
  <c r="J213" i="6"/>
  <c r="E233" i="6"/>
  <c r="E273" i="6"/>
  <c r="E277" i="6" s="1"/>
  <c r="E232" i="6"/>
  <c r="I273" i="6"/>
  <c r="I233" i="6"/>
  <c r="I232" i="6"/>
  <c r="D248" i="6"/>
  <c r="D247" i="6"/>
  <c r="H248" i="6"/>
  <c r="H247" i="6"/>
  <c r="I173" i="6"/>
  <c r="I172" i="6"/>
  <c r="J173" i="6"/>
  <c r="E202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B228" i="6"/>
  <c r="C233" i="6" s="1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57" i="6" s="1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W102" i="6"/>
  <c r="W103" i="6"/>
  <c r="W83" i="6"/>
  <c r="W82" i="6"/>
  <c r="W64" i="6"/>
  <c r="W65" i="6"/>
  <c r="W47" i="6"/>
  <c r="W48" i="6"/>
  <c r="W12" i="6"/>
  <c r="W30" i="6"/>
  <c r="W99" i="6"/>
  <c r="W100" i="6"/>
  <c r="W11" i="6"/>
  <c r="W29" i="6"/>
  <c r="W360" i="7"/>
  <c r="W432" i="7"/>
  <c r="W45" i="6"/>
  <c r="Y45" i="6" s="1"/>
  <c r="W46" i="6"/>
  <c r="W80" i="6"/>
  <c r="Y80" i="6" s="1"/>
  <c r="W81" i="6"/>
  <c r="W396" i="7"/>
  <c r="W468" i="7"/>
  <c r="W10" i="6"/>
  <c r="W28" i="6"/>
  <c r="W414" i="7"/>
  <c r="W62" i="6"/>
  <c r="Y62" i="6" s="1"/>
  <c r="W63" i="6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G288" i="6" l="1"/>
  <c r="I217" i="6"/>
  <c r="G247" i="6"/>
  <c r="H258" i="6"/>
  <c r="H262" i="6" s="1"/>
  <c r="G203" i="6"/>
  <c r="H218" i="6"/>
  <c r="G202" i="6"/>
  <c r="C217" i="6"/>
  <c r="C258" i="6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D263" i="6"/>
  <c r="H292" i="6"/>
  <c r="H293" i="6"/>
  <c r="G292" i="6"/>
  <c r="G293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W135" i="6"/>
  <c r="W152" i="6"/>
  <c r="W119" i="6"/>
  <c r="W156" i="6"/>
  <c r="W120" i="6"/>
  <c r="W155" i="6"/>
  <c r="W138" i="6"/>
  <c r="W137" i="6"/>
  <c r="W133" i="6"/>
  <c r="Y133" i="6" s="1"/>
  <c r="W154" i="6"/>
  <c r="W118" i="6"/>
  <c r="W136" i="6"/>
  <c r="W153" i="6"/>
  <c r="W134" i="6"/>
  <c r="W116" i="6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G263" i="6" l="1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H80" i="5" s="1"/>
  <c r="H84" i="5" s="1"/>
  <c r="G7" i="5"/>
  <c r="G80" i="5" s="1"/>
  <c r="F7" i="5"/>
  <c r="F80" i="5" s="1"/>
  <c r="E7" i="5"/>
  <c r="E80" i="5" s="1"/>
  <c r="D7" i="5"/>
  <c r="D80" i="5" s="1"/>
  <c r="D84" i="5" s="1"/>
  <c r="O10" i="5"/>
  <c r="O9" i="5"/>
  <c r="O8" i="5"/>
  <c r="O7" i="5"/>
  <c r="C7" i="5"/>
  <c r="C80" i="5" s="1"/>
  <c r="B7" i="5"/>
  <c r="B80" i="5" s="1"/>
  <c r="B84" i="5" s="1"/>
  <c r="I7" i="5"/>
  <c r="I80" i="5" s="1"/>
  <c r="J61" i="5"/>
  <c r="J43" i="5"/>
  <c r="J25" i="5"/>
  <c r="J7" i="5"/>
  <c r="J80" i="5" s="1"/>
  <c r="W61" i="5" l="1"/>
  <c r="W62" i="5"/>
  <c r="Y62" i="5" s="1"/>
  <c r="J84" i="5"/>
  <c r="J85" i="5"/>
  <c r="K85" i="5"/>
  <c r="I85" i="5"/>
  <c r="I84" i="5"/>
  <c r="E85" i="5"/>
  <c r="E84" i="5"/>
  <c r="F99" i="5"/>
  <c r="J95" i="5"/>
  <c r="W25" i="5"/>
  <c r="W26" i="5"/>
  <c r="Y26" i="5" s="1"/>
  <c r="F84" i="5"/>
  <c r="F85" i="5"/>
  <c r="C99" i="5"/>
  <c r="C100" i="5"/>
  <c r="G99" i="5"/>
  <c r="G100" i="5"/>
  <c r="W44" i="5"/>
  <c r="Y44" i="5" s="1"/>
  <c r="W43" i="5"/>
  <c r="D85" i="5"/>
  <c r="C84" i="5"/>
  <c r="C85" i="5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Y43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W65" i="5"/>
  <c r="W64" i="5"/>
  <c r="W63" i="5"/>
  <c r="Y63" i="5" s="1"/>
  <c r="R7" i="11"/>
  <c r="J61" i="14"/>
  <c r="W14" i="5"/>
  <c r="W13" i="5"/>
  <c r="W15" i="5"/>
  <c r="W12" i="5"/>
  <c r="W11" i="5"/>
  <c r="W10" i="5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W29" i="5"/>
  <c r="W28" i="5"/>
  <c r="W27" i="5"/>
  <c r="Y27" i="5" s="1"/>
  <c r="J25" i="14"/>
  <c r="W49" i="5"/>
  <c r="W51" i="5"/>
  <c r="W50" i="5"/>
  <c r="W48" i="5"/>
  <c r="W47" i="5"/>
  <c r="W46" i="5"/>
  <c r="W45" i="5"/>
  <c r="Y45" i="5" s="1"/>
  <c r="J43" i="14"/>
  <c r="B37" i="5"/>
  <c r="Y25" i="5"/>
  <c r="W126" i="6"/>
  <c r="W144" i="6"/>
  <c r="W19" i="6"/>
  <c r="O92" i="10"/>
  <c r="O91" i="10"/>
  <c r="W7" i="3"/>
  <c r="L25" i="3"/>
  <c r="N52" i="10" s="1"/>
  <c r="L7" i="3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L61" i="14" l="1"/>
  <c r="Q7" i="15" s="1"/>
  <c r="J126" i="14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W19" i="3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84" i="14" l="1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Y19" i="3"/>
  <c r="X21" i="3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I67" i="14"/>
  <c r="I13" i="14"/>
  <c r="I31" i="14"/>
  <c r="I67" i="2"/>
  <c r="W66" i="2" l="1"/>
  <c r="W12" i="14"/>
  <c r="W66" i="14"/>
  <c r="W30" i="14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83" i="2"/>
  <c r="W11" i="2"/>
  <c r="W29" i="2"/>
  <c r="W47" i="2"/>
  <c r="I66" i="2"/>
  <c r="W65" i="2" l="1"/>
  <c r="I136" i="6"/>
  <c r="I66" i="14"/>
  <c r="I48" i="14"/>
  <c r="I30" i="14"/>
  <c r="I12" i="14"/>
  <c r="W29" i="14" l="1"/>
  <c r="W47" i="14"/>
  <c r="W11" i="14"/>
  <c r="W65" i="14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W46" i="14"/>
  <c r="W28" i="14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I116" i="6"/>
  <c r="I64" i="14"/>
  <c r="I46" i="14"/>
  <c r="I28" i="14"/>
  <c r="I10" i="14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K7" i="4" l="1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2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W20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L79" i="3"/>
  <c r="K67" i="10" s="1"/>
  <c r="I109" i="3"/>
  <c r="J111" i="3" s="1"/>
  <c r="L97" i="3"/>
  <c r="N67" i="10" s="1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99" i="14" l="1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20" i="5" s="1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56" i="5"/>
  <c r="V113" i="6"/>
  <c r="V72" i="6"/>
  <c r="W74" i="6" s="1"/>
  <c r="V38" i="5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V73" i="14" l="1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U163" i="7"/>
  <c r="V164" i="7" s="1"/>
  <c r="H113" i="6"/>
  <c r="H7" i="14"/>
  <c r="H80" i="14" s="1"/>
  <c r="H61" i="14"/>
  <c r="H126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30" i="14" l="1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S206" i="8"/>
  <c r="S215" i="8"/>
  <c r="S213" i="8"/>
  <c r="S211" i="8"/>
  <c r="S209" i="8"/>
  <c r="S207" i="8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S242" i="8"/>
  <c r="S241" i="8"/>
  <c r="Z241" i="8" s="1"/>
  <c r="S251" i="8"/>
  <c r="S249" i="8"/>
  <c r="S247" i="8"/>
  <c r="S245" i="8"/>
  <c r="S243" i="8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S276" i="8"/>
  <c r="Z276" i="8" s="1"/>
  <c r="S286" i="8"/>
  <c r="S284" i="8"/>
  <c r="S282" i="8"/>
  <c r="S280" i="8"/>
  <c r="S278" i="8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S294" i="8"/>
  <c r="Z294" i="8" s="1"/>
  <c r="S302" i="8"/>
  <c r="S300" i="8"/>
  <c r="S298" i="8"/>
  <c r="S296" i="8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S314" i="8"/>
  <c r="S313" i="8"/>
  <c r="Z313" i="8" s="1"/>
  <c r="S323" i="8"/>
  <c r="S321" i="8"/>
  <c r="S319" i="8"/>
  <c r="S317" i="8"/>
  <c r="S315" i="8"/>
  <c r="S312" i="8"/>
  <c r="Z312" i="8" s="1"/>
  <c r="S340" i="8"/>
  <c r="S338" i="8"/>
  <c r="S336" i="8"/>
  <c r="S334" i="8"/>
  <c r="S332" i="8"/>
  <c r="S331" i="8"/>
  <c r="Z331" i="8" s="1"/>
  <c r="S341" i="8"/>
  <c r="S339" i="8"/>
  <c r="S337" i="8"/>
  <c r="S335" i="8"/>
  <c r="S333" i="8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S224" i="8"/>
  <c r="S223" i="8"/>
  <c r="Z223" i="8" s="1"/>
  <c r="S233" i="8"/>
  <c r="S231" i="8"/>
  <c r="S229" i="8"/>
  <c r="S227" i="8"/>
  <c r="S225" i="8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S258" i="8"/>
  <c r="Z258" i="8" s="1"/>
  <c r="S259" i="8"/>
  <c r="Z259" i="8" s="1"/>
  <c r="S268" i="8"/>
  <c r="S266" i="8"/>
  <c r="S264" i="8"/>
  <c r="S262" i="8"/>
  <c r="S260" i="8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S350" i="8"/>
  <c r="S359" i="8"/>
  <c r="S357" i="8"/>
  <c r="S355" i="8"/>
  <c r="S353" i="8"/>
  <c r="S351" i="8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R11" i="8"/>
  <c r="P12" i="8"/>
  <c r="R13" i="8"/>
  <c r="P14" i="8"/>
  <c r="R15" i="8"/>
  <c r="P16" i="8"/>
  <c r="R17" i="8"/>
  <c r="P18" i="8"/>
  <c r="S9" i="8"/>
  <c r="S11" i="8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S188" i="8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U467" i="8"/>
  <c r="S529" i="8"/>
  <c r="T439" i="8"/>
  <c r="S442" i="8"/>
  <c r="S437" i="8"/>
  <c r="Z437" i="8" s="1"/>
  <c r="R483" i="8"/>
  <c r="S441" i="8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S465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D521" i="8"/>
  <c r="Q514" i="8"/>
  <c r="Q510" i="8"/>
  <c r="S517" i="8"/>
  <c r="R520" i="8"/>
  <c r="R509" i="8"/>
  <c r="S513" i="8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Q460" i="8"/>
  <c r="R408" i="8"/>
  <c r="P376" i="8"/>
  <c r="S368" i="8"/>
  <c r="R423" i="8"/>
  <c r="R411" i="8"/>
  <c r="Q459" i="8"/>
  <c r="S408" i="8"/>
  <c r="S387" i="8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461" i="8"/>
  <c r="S373" i="8"/>
  <c r="S423" i="8"/>
  <c r="Q388" i="8"/>
  <c r="P502" i="8"/>
  <c r="R502" i="8"/>
  <c r="S464" i="8"/>
  <c r="S460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C111" i="8"/>
  <c r="Q530" i="8"/>
  <c r="D361" i="8"/>
  <c r="P528" i="8"/>
  <c r="B343" i="8"/>
  <c r="O343" i="8"/>
  <c r="T388" i="8"/>
  <c r="S537" i="8"/>
  <c r="S421" i="8"/>
  <c r="S386" i="8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S459" i="8"/>
  <c r="R477" i="8"/>
  <c r="O539" i="8"/>
  <c r="R407" i="8"/>
  <c r="Q475" i="8"/>
  <c r="S458" i="8"/>
  <c r="Q463" i="8"/>
  <c r="Q376" i="8"/>
  <c r="Q387" i="8"/>
  <c r="C57" i="8"/>
  <c r="T423" i="8"/>
  <c r="T460" i="8"/>
  <c r="Q458" i="8"/>
  <c r="P483" i="8"/>
  <c r="P479" i="8"/>
  <c r="S463" i="8"/>
  <c r="R425" i="8"/>
  <c r="R410" i="8"/>
  <c r="R484" i="8"/>
  <c r="B20" i="8"/>
  <c r="Q483" i="8"/>
  <c r="S475" i="8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S456" i="8"/>
  <c r="Z456" i="8" s="1"/>
  <c r="Q448" i="8"/>
  <c r="Q444" i="8"/>
  <c r="R445" i="8"/>
  <c r="P388" i="8"/>
  <c r="R430" i="8"/>
  <c r="Q478" i="8"/>
  <c r="Q481" i="8"/>
  <c r="P424" i="8"/>
  <c r="S428" i="8"/>
  <c r="C110" i="8"/>
  <c r="R441" i="8"/>
  <c r="P439" i="8"/>
  <c r="S466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62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S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Q528" i="8"/>
  <c r="R428" i="8"/>
  <c r="P391" i="8"/>
  <c r="R533" i="8"/>
  <c r="S402" i="8"/>
  <c r="Z402" i="8" s="1"/>
  <c r="Q438" i="8"/>
  <c r="S448" i="8"/>
  <c r="R366" i="8"/>
  <c r="S531" i="8"/>
  <c r="R531" i="8"/>
  <c r="Q536" i="8"/>
  <c r="Q532" i="8"/>
  <c r="Q531" i="8"/>
  <c r="P536" i="8"/>
  <c r="P530" i="8"/>
  <c r="S477" i="8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R404" i="8"/>
  <c r="S405" i="8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Q390" i="8"/>
  <c r="P389" i="8"/>
  <c r="S375" i="8"/>
  <c r="Q373" i="8"/>
  <c r="Q19" i="8"/>
  <c r="R372" i="8"/>
  <c r="R371" i="8"/>
  <c r="S367" i="8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S455" i="8"/>
  <c r="Z455" i="8" s="1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S162" i="7"/>
  <c r="S156" i="7"/>
  <c r="S152" i="7"/>
  <c r="Z152" i="7" s="1"/>
  <c r="S160" i="7"/>
  <c r="S151" i="7"/>
  <c r="Z151" i="7" s="1"/>
  <c r="S154" i="7"/>
  <c r="S155" i="7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S26" i="7"/>
  <c r="Z26" i="7" s="1"/>
  <c r="S35" i="7"/>
  <c r="S33" i="7"/>
  <c r="S31" i="7"/>
  <c r="S27" i="7"/>
  <c r="S36" i="7"/>
  <c r="S34" i="7"/>
  <c r="S32" i="7"/>
  <c r="S29" i="7"/>
  <c r="S25" i="7"/>
  <c r="Z25" i="7" s="1"/>
  <c r="S28" i="7"/>
  <c r="S46" i="7"/>
  <c r="S54" i="7"/>
  <c r="S52" i="7"/>
  <c r="S50" i="7"/>
  <c r="S47" i="7"/>
  <c r="S43" i="7"/>
  <c r="Z43" i="7" s="1"/>
  <c r="S53" i="7"/>
  <c r="S51" i="7"/>
  <c r="S49" i="7"/>
  <c r="S45" i="7"/>
  <c r="S44" i="7"/>
  <c r="Z44" i="7" s="1"/>
  <c r="S48" i="7"/>
  <c r="S66" i="7"/>
  <c r="S62" i="7"/>
  <c r="Z62" i="7" s="1"/>
  <c r="S71" i="7"/>
  <c r="S69" i="7"/>
  <c r="S67" i="7"/>
  <c r="S63" i="7"/>
  <c r="S72" i="7"/>
  <c r="S70" i="7"/>
  <c r="S68" i="7"/>
  <c r="S65" i="7"/>
  <c r="S61" i="7"/>
  <c r="Z61" i="7" s="1"/>
  <c r="S64" i="7"/>
  <c r="S89" i="7"/>
  <c r="S87" i="7"/>
  <c r="S85" i="7"/>
  <c r="S88" i="7"/>
  <c r="S82" i="7"/>
  <c r="S83" i="7"/>
  <c r="S79" i="7"/>
  <c r="Z79" i="7" s="1"/>
  <c r="S81" i="7"/>
  <c r="S90" i="7"/>
  <c r="S86" i="7"/>
  <c r="S80" i="7"/>
  <c r="Z80" i="7" s="1"/>
  <c r="S84" i="7"/>
  <c r="S108" i="7"/>
  <c r="S106" i="7"/>
  <c r="S104" i="7"/>
  <c r="S101" i="7"/>
  <c r="S97" i="7"/>
  <c r="Z97" i="7" s="1"/>
  <c r="S100" i="7"/>
  <c r="S107" i="7"/>
  <c r="S103" i="7"/>
  <c r="S102" i="7"/>
  <c r="S98" i="7"/>
  <c r="Z98" i="7" s="1"/>
  <c r="S99" i="7"/>
  <c r="S105" i="7"/>
  <c r="S125" i="7"/>
  <c r="S123" i="7"/>
  <c r="S121" i="7"/>
  <c r="S117" i="7"/>
  <c r="S120" i="7"/>
  <c r="S116" i="7"/>
  <c r="Z116" i="7" s="1"/>
  <c r="S126" i="7"/>
  <c r="S122" i="7"/>
  <c r="S119" i="7"/>
  <c r="S118" i="7"/>
  <c r="S115" i="7"/>
  <c r="Z115" i="7" s="1"/>
  <c r="S124" i="7"/>
  <c r="T152" i="7"/>
  <c r="T156" i="7"/>
  <c r="T160" i="7"/>
  <c r="S179" i="7"/>
  <c r="S177" i="7"/>
  <c r="S175" i="7"/>
  <c r="S172" i="7"/>
  <c r="S168" i="7"/>
  <c r="Z168" i="7" s="1"/>
  <c r="S178" i="7"/>
  <c r="S176" i="7"/>
  <c r="S174" i="7"/>
  <c r="S170" i="7"/>
  <c r="S171" i="7"/>
  <c r="S169" i="7"/>
  <c r="Z169" i="7" s="1"/>
  <c r="S173" i="7"/>
  <c r="S196" i="7"/>
  <c r="S194" i="7"/>
  <c r="S192" i="7"/>
  <c r="S188" i="7"/>
  <c r="S197" i="7"/>
  <c r="S195" i="7"/>
  <c r="S193" i="7"/>
  <c r="S190" i="7"/>
  <c r="S186" i="7"/>
  <c r="Z186" i="7" s="1"/>
  <c r="S191" i="7"/>
  <c r="S187" i="7"/>
  <c r="Z187" i="7" s="1"/>
  <c r="S189" i="7"/>
  <c r="S215" i="7"/>
  <c r="S213" i="7"/>
  <c r="S211" i="7"/>
  <c r="S208" i="7"/>
  <c r="S204" i="7"/>
  <c r="Z204" i="7" s="1"/>
  <c r="S214" i="7"/>
  <c r="S212" i="7"/>
  <c r="S210" i="7"/>
  <c r="S206" i="7"/>
  <c r="S207" i="7"/>
  <c r="S205" i="7"/>
  <c r="Z205" i="7" s="1"/>
  <c r="S209" i="7"/>
  <c r="S232" i="7"/>
  <c r="S230" i="7"/>
  <c r="S228" i="7"/>
  <c r="S224" i="7"/>
  <c r="S233" i="7"/>
  <c r="S231" i="7"/>
  <c r="S229" i="7"/>
  <c r="S226" i="7"/>
  <c r="S222" i="7"/>
  <c r="Z222" i="7" s="1"/>
  <c r="S227" i="7"/>
  <c r="S223" i="7"/>
  <c r="Z223" i="7" s="1"/>
  <c r="S225" i="7"/>
  <c r="S243" i="7"/>
  <c r="S248" i="7"/>
  <c r="S242" i="7"/>
  <c r="S240" i="7"/>
  <c r="Z240" i="7" s="1"/>
  <c r="S250" i="7"/>
  <c r="S247" i="7"/>
  <c r="S245" i="7"/>
  <c r="S249" i="7"/>
  <c r="S241" i="7"/>
  <c r="Z241" i="7" s="1"/>
  <c r="S251" i="7"/>
  <c r="S246" i="7"/>
  <c r="S244" i="7"/>
  <c r="S263" i="7"/>
  <c r="S259" i="7"/>
  <c r="Z259" i="7" s="1"/>
  <c r="S267" i="7"/>
  <c r="S264" i="7"/>
  <c r="S269" i="7"/>
  <c r="S266" i="7"/>
  <c r="S262" i="7"/>
  <c r="S260" i="7"/>
  <c r="S268" i="7"/>
  <c r="S258" i="7"/>
  <c r="Z258" i="7" s="1"/>
  <c r="S265" i="7"/>
  <c r="S261" i="7"/>
  <c r="S279" i="7"/>
  <c r="S286" i="7"/>
  <c r="S283" i="7"/>
  <c r="S281" i="7"/>
  <c r="S285" i="7"/>
  <c r="S277" i="7"/>
  <c r="Z277" i="7" s="1"/>
  <c r="S287" i="7"/>
  <c r="S282" i="7"/>
  <c r="S280" i="7"/>
  <c r="S284" i="7"/>
  <c r="S278" i="7"/>
  <c r="S276" i="7"/>
  <c r="Z276" i="7" s="1"/>
  <c r="S315" i="7"/>
  <c r="S323" i="7"/>
  <c r="S321" i="7"/>
  <c r="S319" i="7"/>
  <c r="S316" i="7"/>
  <c r="S312" i="7"/>
  <c r="Z312" i="7" s="1"/>
  <c r="S317" i="7"/>
  <c r="S313" i="7"/>
  <c r="Z313" i="7" s="1"/>
  <c r="S322" i="7"/>
  <c r="S320" i="7"/>
  <c r="S318" i="7"/>
  <c r="S314" i="7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Q83" i="6"/>
  <c r="S85" i="6"/>
  <c r="P86" i="6"/>
  <c r="E72" i="6"/>
  <c r="R62" i="6"/>
  <c r="P69" i="6"/>
  <c r="S89" i="6"/>
  <c r="S86" i="6"/>
  <c r="S83" i="6"/>
  <c r="S79" i="6"/>
  <c r="Z79" i="6" s="1"/>
  <c r="S87" i="6"/>
  <c r="S80" i="6"/>
  <c r="Z80" i="6" s="1"/>
  <c r="S78" i="6"/>
  <c r="Z78" i="6" s="1"/>
  <c r="S82" i="6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R65" i="6"/>
  <c r="Q67" i="6"/>
  <c r="Q68" i="6"/>
  <c r="C72" i="6"/>
  <c r="E90" i="6"/>
  <c r="R82" i="6"/>
  <c r="R78" i="6"/>
  <c r="R79" i="6"/>
  <c r="Q86" i="6"/>
  <c r="S63" i="6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S27" i="6"/>
  <c r="Z27" i="6" s="1"/>
  <c r="S26" i="6"/>
  <c r="Z26" i="6" s="1"/>
  <c r="Q33" i="6"/>
  <c r="S7" i="6"/>
  <c r="Z7" i="6" s="1"/>
  <c r="S11" i="6"/>
  <c r="S13" i="6"/>
  <c r="R14" i="6"/>
  <c r="S31" i="6"/>
  <c r="Q10" i="6"/>
  <c r="R9" i="6"/>
  <c r="S10" i="6"/>
  <c r="Q12" i="6"/>
  <c r="P35" i="6"/>
  <c r="P33" i="6"/>
  <c r="P31" i="6"/>
  <c r="P29" i="6"/>
  <c r="P25" i="6"/>
  <c r="C37" i="6"/>
  <c r="P36" i="6"/>
  <c r="P34" i="6"/>
  <c r="P26" i="6"/>
  <c r="P28" i="6"/>
  <c r="S29" i="6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R28" i="6"/>
  <c r="Q7" i="5"/>
  <c r="Q64" i="5"/>
  <c r="O37" i="5"/>
  <c r="S18" i="5"/>
  <c r="R36" i="5"/>
  <c r="S54" i="5"/>
  <c r="D19" i="5"/>
  <c r="E55" i="5"/>
  <c r="S44" i="5"/>
  <c r="Z44" i="5" s="1"/>
  <c r="S46" i="5"/>
  <c r="B55" i="5"/>
  <c r="S51" i="5"/>
  <c r="S48" i="5"/>
  <c r="Q54" i="5"/>
  <c r="P61" i="5"/>
  <c r="P62" i="5"/>
  <c r="S25" i="5"/>
  <c r="Z25" i="5" s="1"/>
  <c r="S27" i="5"/>
  <c r="Z27" i="5" s="1"/>
  <c r="S29" i="5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S49" i="5"/>
  <c r="S53" i="5"/>
  <c r="B73" i="5"/>
  <c r="Q8" i="5"/>
  <c r="P8" i="5"/>
  <c r="R9" i="5"/>
  <c r="P11" i="5"/>
  <c r="S26" i="5"/>
  <c r="Z26" i="5" s="1"/>
  <c r="S28" i="5"/>
  <c r="S30" i="5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S61" i="5"/>
  <c r="Z61" i="5" s="1"/>
  <c r="S70" i="5"/>
  <c r="S66" i="5"/>
  <c r="S64" i="5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R9" i="3"/>
  <c r="S10" i="3"/>
  <c r="S12" i="3"/>
  <c r="R15" i="3"/>
  <c r="P16" i="3"/>
  <c r="P18" i="3"/>
  <c r="B37" i="3"/>
  <c r="F37" i="3"/>
  <c r="S30" i="3"/>
  <c r="S26" i="3"/>
  <c r="Z26" i="3" s="1"/>
  <c r="S36" i="3"/>
  <c r="S34" i="3"/>
  <c r="S32" i="3"/>
  <c r="S27" i="3"/>
  <c r="Z27" i="3" s="1"/>
  <c r="S25" i="3"/>
  <c r="Z25" i="3" s="1"/>
  <c r="S29" i="3"/>
  <c r="S31" i="3"/>
  <c r="R32" i="3"/>
  <c r="S33" i="3"/>
  <c r="R34" i="3"/>
  <c r="S35" i="3"/>
  <c r="P52" i="3"/>
  <c r="P46" i="3"/>
  <c r="S28" i="3"/>
  <c r="Z28" i="3" s="1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B110" i="14" s="1"/>
  <c r="B114" i="14" s="1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E80" i="14" s="1"/>
  <c r="E84" i="14" s="1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C80" i="14" l="1"/>
  <c r="B95" i="14"/>
  <c r="B99" i="14" s="1"/>
  <c r="C84" i="14"/>
  <c r="F84" i="14"/>
  <c r="F85" i="14"/>
  <c r="E85" i="14"/>
  <c r="D84" i="14"/>
  <c r="D85" i="14"/>
  <c r="B80" i="14"/>
  <c r="B84" i="14" s="1"/>
  <c r="B126" i="14"/>
  <c r="B130" i="14" s="1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S62" i="1"/>
  <c r="Z62" i="1" s="1"/>
  <c r="S65" i="1"/>
  <c r="S69" i="1"/>
  <c r="S61" i="1"/>
  <c r="Z61" i="1" s="1"/>
  <c r="S72" i="1"/>
  <c r="S64" i="1"/>
  <c r="S68" i="1"/>
  <c r="F25" i="14"/>
  <c r="S33" i="1"/>
  <c r="S29" i="1"/>
  <c r="S36" i="1"/>
  <c r="S32" i="1"/>
  <c r="S28" i="1"/>
  <c r="S31" i="1"/>
  <c r="S27" i="1"/>
  <c r="Z27" i="1" s="1"/>
  <c r="S26" i="1"/>
  <c r="Z26" i="1" s="1"/>
  <c r="S25" i="1"/>
  <c r="Z25" i="1" s="1"/>
  <c r="S35" i="1"/>
  <c r="S34" i="1"/>
  <c r="S30" i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S53" i="1"/>
  <c r="S49" i="1"/>
  <c r="S45" i="1"/>
  <c r="Z45" i="1" s="1"/>
  <c r="S48" i="1"/>
  <c r="S52" i="1"/>
  <c r="S44" i="1"/>
  <c r="Z44" i="1" s="1"/>
  <c r="S51" i="1"/>
  <c r="S43" i="1"/>
  <c r="Z43" i="1" s="1"/>
  <c r="S47" i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S348" i="7"/>
  <c r="Z348" i="7" s="1"/>
  <c r="S356" i="7"/>
  <c r="P333" i="7"/>
  <c r="Q401" i="7"/>
  <c r="F235" i="7"/>
  <c r="F395" i="7"/>
  <c r="S391" i="7"/>
  <c r="S388" i="7"/>
  <c r="B235" i="7"/>
  <c r="B395" i="7"/>
  <c r="R351" i="7"/>
  <c r="S337" i="7"/>
  <c r="S333" i="7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S447" i="7"/>
  <c r="S443" i="7"/>
  <c r="P440" i="7"/>
  <c r="P483" i="7"/>
  <c r="P479" i="7"/>
  <c r="P448" i="7"/>
  <c r="P444" i="7"/>
  <c r="S440" i="7"/>
  <c r="Q482" i="7"/>
  <c r="Q478" i="7"/>
  <c r="S475" i="7"/>
  <c r="S448" i="7"/>
  <c r="S444" i="7"/>
  <c r="R440" i="7"/>
  <c r="S427" i="7"/>
  <c r="S421" i="7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S393" i="7"/>
  <c r="S390" i="7"/>
  <c r="S374" i="7"/>
  <c r="Q340" i="7"/>
  <c r="Q336" i="7"/>
  <c r="T332" i="7"/>
  <c r="T329" i="7"/>
  <c r="S340" i="7"/>
  <c r="D181" i="7"/>
  <c r="D341" i="7"/>
  <c r="Q339" i="7"/>
  <c r="S367" i="7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Q355" i="7"/>
  <c r="S355" i="7"/>
  <c r="S352" i="7"/>
  <c r="Q329" i="7"/>
  <c r="P337" i="7"/>
  <c r="S386" i="7"/>
  <c r="S387" i="7"/>
  <c r="S384" i="7"/>
  <c r="Z384" i="7" s="1"/>
  <c r="S392" i="7"/>
  <c r="S370" i="7"/>
  <c r="S339" i="7"/>
  <c r="S335" i="7"/>
  <c r="S334" i="7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S423" i="7"/>
  <c r="C271" i="7"/>
  <c r="C431" i="7"/>
  <c r="Q404" i="7"/>
  <c r="R427" i="7"/>
  <c r="R423" i="7"/>
  <c r="C253" i="7"/>
  <c r="C413" i="7"/>
  <c r="S409" i="7"/>
  <c r="S405" i="7"/>
  <c r="P393" i="7"/>
  <c r="P389" i="7"/>
  <c r="S424" i="7"/>
  <c r="S419" i="7"/>
  <c r="Z419" i="7" s="1"/>
  <c r="P412" i="7"/>
  <c r="S404" i="7"/>
  <c r="C235" i="7"/>
  <c r="C395" i="7"/>
  <c r="R428" i="7"/>
  <c r="S406" i="7"/>
  <c r="C217" i="7"/>
  <c r="C377" i="7"/>
  <c r="P369" i="7"/>
  <c r="P425" i="7"/>
  <c r="Q407" i="7"/>
  <c r="S403" i="7"/>
  <c r="Q390" i="7"/>
  <c r="D235" i="7"/>
  <c r="D395" i="7"/>
  <c r="Q391" i="7"/>
  <c r="S373" i="7"/>
  <c r="S369" i="7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R136" i="6"/>
  <c r="R138" i="6"/>
  <c r="C125" i="6"/>
  <c r="S117" i="6"/>
  <c r="Q123" i="6"/>
  <c r="R119" i="6"/>
  <c r="P115" i="6"/>
  <c r="T117" i="6"/>
  <c r="P121" i="6"/>
  <c r="S135" i="6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P122" i="6"/>
  <c r="R122" i="6"/>
  <c r="S134" i="6"/>
  <c r="S121" i="6"/>
  <c r="T114" i="6"/>
  <c r="S118" i="6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S19" i="3"/>
  <c r="Z19" i="3" s="1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S17" i="1"/>
  <c r="S13" i="1"/>
  <c r="S9" i="1"/>
  <c r="Z9" i="1" s="1"/>
  <c r="S16" i="1"/>
  <c r="S12" i="1"/>
  <c r="S8" i="1"/>
  <c r="Z8" i="1" s="1"/>
  <c r="R14" i="1"/>
  <c r="P16" i="1"/>
  <c r="P15" i="1"/>
  <c r="R12" i="1"/>
  <c r="S11" i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G110" i="14" l="1"/>
  <c r="H115" i="14" s="1"/>
  <c r="P26" i="14"/>
  <c r="C95" i="14"/>
  <c r="Q36" i="14"/>
  <c r="D95" i="14"/>
  <c r="G95" i="14"/>
  <c r="P68" i="14"/>
  <c r="C126" i="14"/>
  <c r="R27" i="14"/>
  <c r="E95" i="14"/>
  <c r="Q70" i="14"/>
  <c r="D126" i="14"/>
  <c r="G114" i="14"/>
  <c r="G126" i="14"/>
  <c r="S43" i="14"/>
  <c r="Z43" i="14" s="1"/>
  <c r="F110" i="14"/>
  <c r="G115" i="14" s="1"/>
  <c r="R71" i="14"/>
  <c r="E126" i="14"/>
  <c r="C55" i="14"/>
  <c r="C110" i="14"/>
  <c r="C85" i="14"/>
  <c r="S62" i="14"/>
  <c r="Z62" i="14" s="1"/>
  <c r="F126" i="14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S44" i="14"/>
  <c r="Z44" i="14" s="1"/>
  <c r="D56" i="1"/>
  <c r="O20" i="1"/>
  <c r="P34" i="14"/>
  <c r="D73" i="14"/>
  <c r="Q72" i="14"/>
  <c r="Q65" i="14"/>
  <c r="S48" i="14"/>
  <c r="S47" i="14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Q31" i="14"/>
  <c r="Q34" i="14"/>
  <c r="Q32" i="14"/>
  <c r="Q28" i="14"/>
  <c r="P72" i="14"/>
  <c r="P71" i="14"/>
  <c r="R33" i="14"/>
  <c r="S66" i="14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R21" i="3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F131" i="14" l="1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4" i="14"/>
  <c r="G85" i="14"/>
  <c r="H85" i="14"/>
  <c r="C115" i="14"/>
  <c r="C114" i="14"/>
  <c r="F115" i="14"/>
  <c r="F114" i="14"/>
  <c r="E99" i="14"/>
  <c r="E100" i="14"/>
  <c r="G99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I73" i="3" l="1"/>
  <c r="J75" i="3" s="1"/>
  <c r="L61" i="3"/>
  <c r="Q52" i="10" s="1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20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S120" i="3"/>
  <c r="S49" i="3"/>
  <c r="S48" i="3"/>
  <c r="S47" i="3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S135" i="7"/>
  <c r="S139" i="7"/>
  <c r="S144" i="7"/>
  <c r="S133" i="7"/>
  <c r="Z133" i="7" s="1"/>
  <c r="S134" i="7"/>
  <c r="Z134" i="7" s="1"/>
  <c r="S142" i="7"/>
  <c r="S136" i="7"/>
  <c r="S138" i="7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458" i="7" s="1"/>
  <c r="S152" i="3"/>
  <c r="Z152" i="3" s="1"/>
  <c r="Q88" i="2"/>
  <c r="E160" i="6"/>
  <c r="S299" i="7"/>
  <c r="S460" i="7" s="1"/>
  <c r="R161" i="3"/>
  <c r="O465" i="7"/>
  <c r="O466" i="7"/>
  <c r="R160" i="3"/>
  <c r="R50" i="6"/>
  <c r="Q48" i="6"/>
  <c r="R82" i="2"/>
  <c r="E151" i="6"/>
  <c r="S296" i="7"/>
  <c r="S457" i="7" s="1"/>
  <c r="S298" i="7"/>
  <c r="S459" i="7" s="1"/>
  <c r="S295" i="7"/>
  <c r="R154" i="3"/>
  <c r="R158" i="3"/>
  <c r="S151" i="3"/>
  <c r="Z151" i="3" s="1"/>
  <c r="C156" i="6"/>
  <c r="Q51" i="6"/>
  <c r="B157" i="6"/>
  <c r="C465" i="7"/>
  <c r="O464" i="7"/>
  <c r="S100" i="6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158" i="6" l="1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3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20" i="3"/>
  <c r="O56" i="3"/>
  <c r="O128" i="3"/>
  <c r="O110" i="3"/>
  <c r="O38" i="3"/>
  <c r="P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F147" i="2" l="1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S60" i="12"/>
  <c r="Z60" i="12" s="1"/>
  <c r="S58" i="12"/>
  <c r="Z58" i="12" s="1"/>
  <c r="S61" i="12"/>
  <c r="S62" i="12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S127" i="12"/>
  <c r="Z127" i="12" s="1"/>
  <c r="S129" i="12"/>
  <c r="S132" i="12"/>
  <c r="S128" i="12"/>
  <c r="Z128" i="12" s="1"/>
  <c r="S130" i="12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S115" i="12"/>
  <c r="S110" i="12"/>
  <c r="Z110" i="12" s="1"/>
  <c r="S112" i="12"/>
  <c r="S109" i="12"/>
  <c r="Z109" i="12" s="1"/>
  <c r="S114" i="12"/>
  <c r="S28" i="12"/>
  <c r="S25" i="12"/>
  <c r="Z25" i="12" s="1"/>
  <c r="S29" i="12"/>
  <c r="S30" i="12"/>
  <c r="S24" i="12"/>
  <c r="Z24" i="12" s="1"/>
  <c r="S27" i="12"/>
  <c r="S26" i="12"/>
  <c r="Z26" i="12" s="1"/>
  <c r="S76" i="12"/>
  <c r="Z76" i="12" s="1"/>
  <c r="S81" i="12"/>
  <c r="S79" i="12"/>
  <c r="S80" i="12"/>
  <c r="S75" i="12"/>
  <c r="Z75" i="12" s="1"/>
  <c r="S77" i="12"/>
  <c r="Z77" i="12" s="1"/>
  <c r="S78" i="12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S92" i="12"/>
  <c r="Z92" i="12" s="1"/>
  <c r="S93" i="12"/>
  <c r="Z93" i="12" s="1"/>
  <c r="S95" i="12"/>
  <c r="S96" i="12"/>
  <c r="S98" i="12"/>
  <c r="S94" i="12"/>
  <c r="Z94" i="12" s="1"/>
  <c r="S46" i="12"/>
  <c r="S47" i="12"/>
  <c r="S43" i="12"/>
  <c r="Z43" i="12" s="1"/>
  <c r="S44" i="12"/>
  <c r="S45" i="12"/>
  <c r="S41" i="12"/>
  <c r="Z41" i="12" s="1"/>
  <c r="S9" i="12"/>
  <c r="Z9" i="12" s="1"/>
  <c r="S13" i="12"/>
  <c r="S11" i="12"/>
  <c r="S10" i="12"/>
  <c r="S8" i="12"/>
  <c r="Z8" i="12" s="1"/>
  <c r="S7" i="12"/>
  <c r="Z7" i="12" s="1"/>
  <c r="S12" i="12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R12" i="14" l="1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S10" i="5"/>
  <c r="S14" i="5"/>
  <c r="S9" i="5"/>
  <c r="Z9" i="5" s="1"/>
  <c r="R18" i="5"/>
  <c r="S11" i="5"/>
  <c r="F21" i="5" l="1"/>
  <c r="E21" i="5"/>
  <c r="R19" i="5"/>
  <c r="R21" i="5" s="1"/>
  <c r="S19" i="5"/>
  <c r="S15" i="14"/>
  <c r="S13" i="14"/>
  <c r="R16" i="14"/>
  <c r="S8" i="14"/>
  <c r="Z8" i="14" s="1"/>
  <c r="S10" i="14"/>
  <c r="R18" i="14"/>
  <c r="S11" i="14"/>
  <c r="S9" i="14"/>
  <c r="Z9" i="14" s="1"/>
  <c r="S14" i="14"/>
  <c r="R17" i="14"/>
  <c r="S7" i="14"/>
  <c r="Z7" i="14" s="1"/>
  <c r="E19" i="14"/>
  <c r="S12" i="14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<sst xmlns="http://schemas.openxmlformats.org/spreadsheetml/2006/main" count="4325" uniqueCount="311">
  <si>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</si>
  <si>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</si>
  <si>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</si>
  <si>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</si>
  <si>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</si>
  <si>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</si>
  <si>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</si>
  <si>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</si>
  <si>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</si>
  <si>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</si>
  <si>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</si>
  <si>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</si>
  <si>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</si>
  <si>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</si>
  <si>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</si>
  <si>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</si>
  <si>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</si>
  <si>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</si>
  <si>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</si>
  <si>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</si>
  <si>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</si>
  <si>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</si>
  <si>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</si>
  <si>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</si>
  <si>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</si>
  <si>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</si>
  <si>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</si>
  <si>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</si>
  <si>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</si>
  <si>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</si>
  <si>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</si>
  <si>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</si>
  <si>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</si>
  <si>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</si>
  <si>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</si>
  <si>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</si>
  <si>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</si>
  <si>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</si>
  <si>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</si>
  <si>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</si>
  <si>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</si>
  <si>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</si>
  <si>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</si>
  <si>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</si>
  <si>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</si>
  <si>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</si>
  <si>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</si>
  <si>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</si>
  <si>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</si>
  <si>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</si>
  <si>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</si>
  <si>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</si>
  <si>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</si>
  <si>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</si>
  <si>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</si>
  <si>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</si>
  <si>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</si>
  <si>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</si>
  <si>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</si>
  <si>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</si>
  <si>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</si>
  <si>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</si>
  <si>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</si>
  <si>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</si>
  <si>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</si>
  <si>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</si>
  <si>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</si>
  <si>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</si>
  <si>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</si>
  <si>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</si>
  <si>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</si>
  <si>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</si>
  <si>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</si>
  <si>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</si>
  <si>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</si>
  <si>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</si>
  <si>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</si>
  <si>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</si>
  <si>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</si>
  <si>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</si>
  <si>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</si>
  <si>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</si>
  <si>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</si>
  <si>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</si>
  <si>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</si>
  <si>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</si>
  <si>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</si>
  <si>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</si>
  <si>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</si>
  <si>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</si>
  <si>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</si>
  <si>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</si>
  <si>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</si>
  <si>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</si>
  <si>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</si>
  <si>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</si>
  <si>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</si>
  <si>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</si>
  <si>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</si>
  <si>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</si>
  <si>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</si>
  <si>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</si>
  <si>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</si>
  <si>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</si>
  <si>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</si>
  <si>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</si>
  <si>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</si>
  <si>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</si>
  <si>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</si>
  <si>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</si>
  <si>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</si>
  <si>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</si>
  <si>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</si>
  <si>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</si>
  <si>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</si>
  <si>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</si>
  <si>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</si>
  <si>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</si>
  <si>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</si>
  <si>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</si>
  <si>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</si>
  <si>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</si>
  <si>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</si>
  <si>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</si>
  <si>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</si>
  <si>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</si>
  <si>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</si>
  <si>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</si>
  <si>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</si>
  <si>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</si>
  <si>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</si>
  <si>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</si>
  <si>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</si>
  <si>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</si>
  <si>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</si>
  <si>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</si>
  <si>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</si>
  <si>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</si>
  <si>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</si>
  <si>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</si>
  <si>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</si>
  <si>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</si>
  <si>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</si>
  <si>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</si>
  <si>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</si>
  <si>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</si>
  <si>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</si>
  <si>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</si>
  <si>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</si>
  <si>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</si>
  <si>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</si>
  <si>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</si>
  <si>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</si>
  <si>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</si>
  <si>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</si>
  <si>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</si>
  <si>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</si>
  <si>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</si>
  <si>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</si>
  <si>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</si>
  <si>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</si>
  <si>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</si>
  <si>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</si>
  <si>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</si>
  <si>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</si>
  <si>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</si>
  <si>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</si>
  <si>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</si>
  <si>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</si>
  <si>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</si>
  <si>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</si>
  <si>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</si>
  <si>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</si>
  <si>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</si>
  <si>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</si>
  <si>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</si>
  <si>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</si>
  <si>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</si>
  <si>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</si>
  <si>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</si>
  <si>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</si>
  <si>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</si>
  <si>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</si>
  <si>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</si>
  <si>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</si>
  <si>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</si>
  <si>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</si>
  <si>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</si>
  <si>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</si>
  <si>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</si>
  <si>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</si>
  <si>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</si>
  <si>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</si>
  <si>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</si>
  <si>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</si>
  <si>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</si>
  <si>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</si>
  <si>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</si>
  <si>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</si>
  <si>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</si>
  <si>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</si>
  <si>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</si>
  <si>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</si>
  <si>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</si>
  <si>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</si>
  <si>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</si>
  <si>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</si>
  <si>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</si>
  <si>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</si>
  <si>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</si>
  <si>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</si>
  <si>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</si>
  <si>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</si>
  <si>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</si>
  <si>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</si>
  <si>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</si>
  <si>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</si>
  <si>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</si>
  <si>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</si>
  <si>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</si>
  <si>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</si>
  <si>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</si>
  <si>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</si>
  <si>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</si>
  <si>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</si>
  <si>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</si>
  <si>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</si>
  <si>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</si>
  <si>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</si>
  <si>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</si>
  <si>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</si>
  <si>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</si>
  <si>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</si>
  <si>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</si>
  <si>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</si>
  <si>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</si>
  <si>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</si>
  <si>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</si>
  <si>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</si>
  <si>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</si>
  <si>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</si>
  <si>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</si>
  <si>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</si>
  <si>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</si>
  <si>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</si>
  <si>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</si>
  <si>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</si>
  <si>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</si>
  <si>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</si>
  <si>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</si>
  <si>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</si>
  <si>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</si>
  <si>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</si>
  <si>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</si>
  <si>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</si>
  <si>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</si>
  <si>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</si>
  <si>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</si>
  <si>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</si>
  <si>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</si>
  <si>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</si>
  <si>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</si>
  <si>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</si>
  <si>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</si>
  <si>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</si>
  <si>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</si>
  <si>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</si>
  <si>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</si>
  <si>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</si>
  <si>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</si>
  <si>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</si>
  <si>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</si>
  <si>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</si>
  <si>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</si>
  <si>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</si>
  <si>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</si>
  <si>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</si>
  <si>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</si>
  <si>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</si>
  <si>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</si>
  <si>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</si>
  <si>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</si>
  <si>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</si>
  <si>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</si>
  <si>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</si>
  <si>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</si>
  <si>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</si>
  <si>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</si>
  <si>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</si>
  <si>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</si>
  <si>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</si>
  <si>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</si>
  <si>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</si>
  <si>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</si>
  <si>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</si>
  <si>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</si>
  <si>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</si>
  <si>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</si>
  <si>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</si>
  <si>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</si>
  <si>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</si>
  <si>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</si>
  <si>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</si>
  <si>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</si>
  <si>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</si>
  <si>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</si>
  <si>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</si>
  <si>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pasaje</t>
  </si>
  <si>
    <t>consulta</t>
  </si>
  <si>
    <t>hostel</t>
  </si>
  <si>
    <t>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</si>
</sst>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56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765.76340000000005</c:v>
                </c:pt>
                <c:pt idx="5">
                  <c:v>760.14370000000008</c:v>
                </c:pt>
                <c:pt idx="6">
                  <c:v>765.11149999999998</c:v>
                </c:pt>
                <c:pt idx="7">
                  <c:v>769.40149999999994</c:v>
                </c:pt>
                <c:pt idx="8">
                  <c:v>768.85059999999999</c:v>
                </c:pt>
                <c:pt idx="9">
                  <c:v>761.74768900000004</c:v>
                </c:pt>
                <c:pt idx="10">
                  <c:v>763.81548899999996</c:v>
                </c:pt>
                <c:pt idx="11">
                  <c:v>762.58288900000002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767.58888899999988</c:v>
                </c:pt>
                <c:pt idx="1">
                  <c:v>770.64888899999994</c:v>
                </c:pt>
                <c:pt idx="2">
                  <c:v>771.69958900000006</c:v>
                </c:pt>
                <c:pt idx="3">
                  <c:v>775.98898900000006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varietal'!$O$81:$X$81</c:f>
              <c:numCache>
                <c:formatCode>0.0</c:formatCode>
                <c:ptCount val="10"/>
                <c:pt idx="0">
                  <c:v>3.7824019999999989</c:v>
                </c:pt>
                <c:pt idx="1">
                  <c:v>3.630871</c:v>
                </c:pt>
                <c:pt idx="2">
                  <c:v>3.4964</c:v>
                </c:pt>
                <c:pt idx="3">
                  <c:v>3.6815999999999995</c:v>
                </c:pt>
                <c:pt idx="4">
                  <c:v>3.2159999999999997</c:v>
                </c:pt>
                <c:pt idx="5">
                  <c:v>3.5206999999999997</c:v>
                </c:pt>
                <c:pt idx="6">
                  <c:v>4.3283100000000001</c:v>
                </c:pt>
                <c:pt idx="7">
                  <c:v>4.3861615</c:v>
                </c:pt>
                <c:pt idx="8">
                  <c:v>3.0770999999999997</c:v>
                </c:pt>
                <c:pt idx="9">
                  <c:v>2.6692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varietal'!$O$99:$X$99</c:f>
              <c:numCache>
                <c:formatCode>0.0</c:formatCode>
                <c:ptCount val="10"/>
                <c:pt idx="0">
                  <c:v>11.523007000000002</c:v>
                </c:pt>
                <c:pt idx="1">
                  <c:v>11.287106999999999</c:v>
                </c:pt>
                <c:pt idx="2">
                  <c:v>10.178699999999999</c:v>
                </c:pt>
                <c:pt idx="3">
                  <c:v>9.795300000000001</c:v>
                </c:pt>
                <c:pt idx="4">
                  <c:v>12.875900000000001</c:v>
                </c:pt>
                <c:pt idx="5">
                  <c:v>16.677599999999998</c:v>
                </c:pt>
                <c:pt idx="6">
                  <c:v>19.48959</c:v>
                </c:pt>
                <c:pt idx="7">
                  <c:v>13.001493</c:v>
                </c:pt>
                <c:pt idx="8">
                  <c:v>8.677999999999999</c:v>
                </c:pt>
                <c:pt idx="9">
                  <c:v>9.4952000000000005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varietal'!$O$117:$X$117</c:f>
              <c:numCache>
                <c:formatCode>0.0</c:formatCode>
                <c:ptCount val="10"/>
                <c:pt idx="0">
                  <c:v>6.452024999999999</c:v>
                </c:pt>
                <c:pt idx="1">
                  <c:v>6.1794380000000002</c:v>
                </c:pt>
                <c:pt idx="2">
                  <c:v>6.0499000000000001</c:v>
                </c:pt>
                <c:pt idx="3">
                  <c:v>5.3492999999999995</c:v>
                </c:pt>
                <c:pt idx="4">
                  <c:v>5.2818000000000005</c:v>
                </c:pt>
                <c:pt idx="5">
                  <c:v>6.1544999999999996</c:v>
                </c:pt>
                <c:pt idx="6">
                  <c:v>6.0459600000000009</c:v>
                </c:pt>
                <c:pt idx="7">
                  <c:v>4.8736560000000004</c:v>
                </c:pt>
                <c:pt idx="8">
                  <c:v>3.4874999999999998</c:v>
                </c:pt>
                <c:pt idx="9">
                  <c:v>3.8214000000000001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varietal'!$O$135:$X$135</c:f>
              <c:numCache>
                <c:formatCode>0.0</c:formatCode>
                <c:ptCount val="10"/>
                <c:pt idx="0">
                  <c:v>41.201771000000015</c:v>
                </c:pt>
                <c:pt idx="1">
                  <c:v>38.071178000000003</c:v>
                </c:pt>
                <c:pt idx="2">
                  <c:v>32.695099999999996</c:v>
                </c:pt>
                <c:pt idx="3">
                  <c:v>35.178000000000004</c:v>
                </c:pt>
                <c:pt idx="4">
                  <c:v>39.376900000000006</c:v>
                </c:pt>
                <c:pt idx="5">
                  <c:v>44.049399999999999</c:v>
                </c:pt>
                <c:pt idx="6">
                  <c:v>38.81521</c:v>
                </c:pt>
                <c:pt idx="7">
                  <c:v>29.338128499999989</c:v>
                </c:pt>
                <c:pt idx="8">
                  <c:v>18.2577</c:v>
                </c:pt>
                <c:pt idx="9">
                  <c:v>18.992099999999997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varietal'!$O$153:$X$153</c:f>
              <c:numCache>
                <c:formatCode>0.0</c:formatCode>
                <c:ptCount val="10"/>
                <c:pt idx="0">
                  <c:v>218.70985300000004</c:v>
                </c:pt>
                <c:pt idx="1">
                  <c:v>210.86694900000001</c:v>
                </c:pt>
                <c:pt idx="2">
                  <c:v>192.61369999999999</c:v>
                </c:pt>
                <c:pt idx="3">
                  <c:v>200.15099999999995</c:v>
                </c:pt>
                <c:pt idx="4">
                  <c:v>218.87199999999999</c:v>
                </c:pt>
                <c:pt idx="5">
                  <c:v>267.34929999999997</c:v>
                </c:pt>
                <c:pt idx="6">
                  <c:v>261.53949999999998</c:v>
                </c:pt>
                <c:pt idx="7">
                  <c:v>218.8296</c:v>
                </c:pt>
                <c:pt idx="8">
                  <c:v>174.87090000000001</c:v>
                </c:pt>
                <c:pt idx="9">
                  <c:v>180.4676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varietal'!$O$170:$X$170</c:f>
              <c:numCache>
                <c:formatCode>0.0</c:formatCode>
                <c:ptCount val="10"/>
                <c:pt idx="0">
                  <c:v>455.79307000000006</c:v>
                </c:pt>
                <c:pt idx="1">
                  <c:v>478.27336999999994</c:v>
                </c:pt>
                <c:pt idx="2">
                  <c:v>483.15700000000004</c:v>
                </c:pt>
                <c:pt idx="3">
                  <c:v>484.33100000000002</c:v>
                </c:pt>
                <c:pt idx="4">
                  <c:v>469.524</c:v>
                </c:pt>
                <c:pt idx="5">
                  <c:v>478.97199999999998</c:v>
                </c:pt>
                <c:pt idx="6">
                  <c:v>531.87940000000003</c:v>
                </c:pt>
                <c:pt idx="7">
                  <c:v>470.82706999999999</c:v>
                </c:pt>
                <c:pt idx="8">
                  <c:v>417.42399999999998</c:v>
                </c:pt>
                <c:pt idx="9">
                  <c:v>427.11700000000002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varietal'!$O$188:$X$188</c:f>
              <c:numCache>
                <c:formatCode>0.0</c:formatCode>
                <c:ptCount val="10"/>
                <c:pt idx="0">
                  <c:v>76.416890000000009</c:v>
                </c:pt>
                <c:pt idx="1">
                  <c:v>78.257410000000007</c:v>
                </c:pt>
                <c:pt idx="2">
                  <c:v>74.45</c:v>
                </c:pt>
                <c:pt idx="3">
                  <c:v>71.350999999999999</c:v>
                </c:pt>
                <c:pt idx="4">
                  <c:v>67.394000000000005</c:v>
                </c:pt>
                <c:pt idx="5">
                  <c:v>71.290999999999997</c:v>
                </c:pt>
                <c:pt idx="6">
                  <c:v>76.608699999999999</c:v>
                </c:pt>
                <c:pt idx="7">
                  <c:v>77.564639999999997</c:v>
                </c:pt>
                <c:pt idx="8">
                  <c:v>60.046000000000006</c:v>
                </c:pt>
                <c:pt idx="9">
                  <c:v>64.439000000000007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Marzo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varietal'!$O$206:$X$206</c:f>
              <c:numCache>
                <c:formatCode>0.0</c:formatCode>
                <c:ptCount val="10"/>
                <c:pt idx="0">
                  <c:v>7.4146900000000002</c:v>
                </c:pt>
                <c:pt idx="1">
                  <c:v>7.8270700000000009</c:v>
                </c:pt>
                <c:pt idx="2">
                  <c:v>6.8330000000000002</c:v>
                </c:pt>
                <c:pt idx="3">
                  <c:v>7.8040000000000003</c:v>
                </c:pt>
                <c:pt idx="4">
                  <c:v>7.4779999999999998</c:v>
                </c:pt>
                <c:pt idx="5">
                  <c:v>9.0649999999999995</c:v>
                </c:pt>
                <c:pt idx="6">
                  <c:v>8.8740999999999985</c:v>
                </c:pt>
                <c:pt idx="7">
                  <c:v>6.6067099999999996</c:v>
                </c:pt>
                <c:pt idx="8">
                  <c:v>5.3573300000000001</c:v>
                </c:pt>
                <c:pt idx="9">
                  <c:v>5.4059999999999997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varietal'!$O$224:$X$224</c:f>
              <c:numCache>
                <c:formatCode>0.0</c:formatCode>
                <c:ptCount val="10"/>
                <c:pt idx="0">
                  <c:v>11.380660000000001</c:v>
                </c:pt>
                <c:pt idx="1">
                  <c:v>8.6313500000000012</c:v>
                </c:pt>
                <c:pt idx="2">
                  <c:v>8.1689999999999987</c:v>
                </c:pt>
                <c:pt idx="3">
                  <c:v>8.673</c:v>
                </c:pt>
                <c:pt idx="4">
                  <c:v>7.9689999999999994</c:v>
                </c:pt>
                <c:pt idx="5">
                  <c:v>8.81</c:v>
                </c:pt>
                <c:pt idx="6">
                  <c:v>7.0538999999999987</c:v>
                </c:pt>
                <c:pt idx="7">
                  <c:v>6.0687999999999995</c:v>
                </c:pt>
                <c:pt idx="8">
                  <c:v>4.06494</c:v>
                </c:pt>
                <c:pt idx="9">
                  <c:v>4.585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varietal'!$O$242:$X$242</c:f>
              <c:numCache>
                <c:formatCode>0.0</c:formatCode>
                <c:ptCount val="10"/>
                <c:pt idx="0">
                  <c:v>10.879839999999998</c:v>
                </c:pt>
                <c:pt idx="1">
                  <c:v>10.391539999999999</c:v>
                </c:pt>
                <c:pt idx="2">
                  <c:v>10.654999999999999</c:v>
                </c:pt>
                <c:pt idx="3">
                  <c:v>11.373999999999999</c:v>
                </c:pt>
                <c:pt idx="4">
                  <c:v>8.9980000000000011</c:v>
                </c:pt>
                <c:pt idx="5">
                  <c:v>8.9200000000000017</c:v>
                </c:pt>
                <c:pt idx="6">
                  <c:v>12.4619</c:v>
                </c:pt>
                <c:pt idx="7">
                  <c:v>12.861124999999998</c:v>
                </c:pt>
                <c:pt idx="8">
                  <c:v>10.043000000000001</c:v>
                </c:pt>
                <c:pt idx="9">
                  <c:v>9.1839999999999993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varietal'!$O$260:$X$260</c:f>
              <c:numCache>
                <c:formatCode>0.0</c:formatCode>
                <c:ptCount val="10"/>
                <c:pt idx="0">
                  <c:v>36.653160000000007</c:v>
                </c:pt>
                <c:pt idx="1">
                  <c:v>37.26126</c:v>
                </c:pt>
                <c:pt idx="2">
                  <c:v>35.643000000000001</c:v>
                </c:pt>
                <c:pt idx="3">
                  <c:v>34.623999999999995</c:v>
                </c:pt>
                <c:pt idx="4">
                  <c:v>37.442999999999998</c:v>
                </c:pt>
                <c:pt idx="5">
                  <c:v>42.997999999999998</c:v>
                </c:pt>
                <c:pt idx="6">
                  <c:v>49.765199999999993</c:v>
                </c:pt>
                <c:pt idx="7">
                  <c:v>42.02196</c:v>
                </c:pt>
                <c:pt idx="8">
                  <c:v>35.951999999999998</c:v>
                </c:pt>
                <c:pt idx="9">
                  <c:v>38.975999999999999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varietal'!$O$278:$X$278</c:f>
              <c:numCache>
                <c:formatCode>0.0</c:formatCode>
                <c:ptCount val="10"/>
                <c:pt idx="0">
                  <c:v>16.477979999999999</c:v>
                </c:pt>
                <c:pt idx="1">
                  <c:v>15.291699999999999</c:v>
                </c:pt>
                <c:pt idx="2">
                  <c:v>14.442</c:v>
                </c:pt>
                <c:pt idx="3">
                  <c:v>13.497</c:v>
                </c:pt>
                <c:pt idx="4">
                  <c:v>12.049000000000001</c:v>
                </c:pt>
                <c:pt idx="5">
                  <c:v>11.664999999999999</c:v>
                </c:pt>
                <c:pt idx="6">
                  <c:v>12.6709</c:v>
                </c:pt>
                <c:pt idx="7">
                  <c:v>11.885450000000002</c:v>
                </c:pt>
                <c:pt idx="8">
                  <c:v>9.8659999999999997</c:v>
                </c:pt>
                <c:pt idx="9">
                  <c:v>11.298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varietal'!$O$296:$X$296</c:f>
              <c:numCache>
                <c:formatCode>0.0</c:formatCode>
                <c:ptCount val="10"/>
                <c:pt idx="0">
                  <c:v>119.39275999999998</c:v>
                </c:pt>
                <c:pt idx="1">
                  <c:v>112.44934000000001</c:v>
                </c:pt>
                <c:pt idx="2">
                  <c:v>108.12899999999999</c:v>
                </c:pt>
                <c:pt idx="3">
                  <c:v>107.18499999999997</c:v>
                </c:pt>
                <c:pt idx="4">
                  <c:v>103.459</c:v>
                </c:pt>
                <c:pt idx="5">
                  <c:v>104.01499999999999</c:v>
                </c:pt>
                <c:pt idx="6">
                  <c:v>112.4509</c:v>
                </c:pt>
                <c:pt idx="7">
                  <c:v>99.146244999999993</c:v>
                </c:pt>
                <c:pt idx="8">
                  <c:v>77.796729999999997</c:v>
                </c:pt>
                <c:pt idx="9">
                  <c:v>83.529000000000011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Marzo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varietal'!$O$314:$X$314</c:f>
              <c:numCache>
                <c:formatCode>0.0</c:formatCode>
                <c:ptCount val="10"/>
                <c:pt idx="0">
                  <c:v>734.40905000000021</c:v>
                </c:pt>
                <c:pt idx="1">
                  <c:v>748.38303999999994</c:v>
                </c:pt>
                <c:pt idx="2">
                  <c:v>741.47800000000007</c:v>
                </c:pt>
                <c:pt idx="3">
                  <c:v>738.83900000000006</c:v>
                </c:pt>
                <c:pt idx="4">
                  <c:v>714.548</c:v>
                </c:pt>
                <c:pt idx="5">
                  <c:v>736.88700000000017</c:v>
                </c:pt>
                <c:pt idx="6">
                  <c:v>811.7650000000001</c:v>
                </c:pt>
                <c:pt idx="7">
                  <c:v>726.98200000000008</c:v>
                </c:pt>
                <c:pt idx="8">
                  <c:v>620.54999999999995</c:v>
                </c:pt>
                <c:pt idx="9">
                  <c:v>644.53399999999999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varietal'!$O$331:$X$331</c:f>
              <c:numCache>
                <c:formatCode>0.00</c:formatCode>
                <c:ptCount val="10"/>
                <c:pt idx="0">
                  <c:v>3.6505348775667037</c:v>
                </c:pt>
                <c:pt idx="1">
                  <c:v>3.7975459595144447</c:v>
                </c:pt>
                <c:pt idx="2">
                  <c:v>4.1063723277945066</c:v>
                </c:pt>
                <c:pt idx="3">
                  <c:v>4.01858736984817</c:v>
                </c:pt>
                <c:pt idx="4">
                  <c:v>3.6656847765920322</c:v>
                </c:pt>
                <c:pt idx="5">
                  <c:v>3.0420056308974059</c:v>
                </c:pt>
                <c:pt idx="6">
                  <c:v>3.2977623329245747</c:v>
                </c:pt>
                <c:pt idx="7">
                  <c:v>3.3195418342428926</c:v>
                </c:pt>
                <c:pt idx="8">
                  <c:v>3.4063971953922438</c:v>
                </c:pt>
                <c:pt idx="9">
                  <c:v>3.3898551253744094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varietal'!$O$349:$X$349</c:f>
              <c:numCache>
                <c:formatCode>0.00</c:formatCode>
                <c:ptCount val="10"/>
                <c:pt idx="0">
                  <c:v>3.1999076921801373</c:v>
                </c:pt>
                <c:pt idx="1">
                  <c:v>3.9884309250316319</c:v>
                </c:pt>
                <c:pt idx="2">
                  <c:v>4.173299849772417</c:v>
                </c:pt>
                <c:pt idx="3">
                  <c:v>4.0817015336914428</c:v>
                </c:pt>
                <c:pt idx="4">
                  <c:v>3.5922009253139464</c:v>
                </c:pt>
                <c:pt idx="5">
                  <c:v>2.9782389826755731</c:v>
                </c:pt>
                <c:pt idx="6">
                  <c:v>3.450309254020663</c:v>
                </c:pt>
                <c:pt idx="7">
                  <c:v>3.7637293784254449</c:v>
                </c:pt>
                <c:pt idx="8">
                  <c:v>3.8249514284804285</c:v>
                </c:pt>
                <c:pt idx="9">
                  <c:v>3.9382364445313649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varietal'!$O$367:$X$367</c:f>
              <c:numCache>
                <c:formatCode>0.00</c:formatCode>
                <c:ptCount val="10"/>
                <c:pt idx="0">
                  <c:v>3.0880954046886044</c:v>
                </c:pt>
                <c:pt idx="1">
                  <c:v>3.0742313999273376</c:v>
                </c:pt>
                <c:pt idx="2">
                  <c:v>3.4221465417939601</c:v>
                </c:pt>
                <c:pt idx="3">
                  <c:v>1.1724055044768946</c:v>
                </c:pt>
                <c:pt idx="4">
                  <c:v>0.50258078391311367</c:v>
                </c:pt>
                <c:pt idx="5">
                  <c:v>1.2676548734442734</c:v>
                </c:pt>
                <c:pt idx="6">
                  <c:v>1.853175987085969</c:v>
                </c:pt>
                <c:pt idx="7">
                  <c:v>2.3834581393779932</c:v>
                </c:pt>
                <c:pt idx="8">
                  <c:v>3.0924324636342648</c:v>
                </c:pt>
                <c:pt idx="9">
                  <c:v>3.5340262796626787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varietal'!$O$385:$X$385</c:f>
              <c:numCache>
                <c:formatCode>0.00</c:formatCode>
                <c:ptCount val="10"/>
                <c:pt idx="0">
                  <c:v>2.467561470806841</c:v>
                </c:pt>
                <c:pt idx="1">
                  <c:v>2.1658386494306598</c:v>
                </c:pt>
                <c:pt idx="2">
                  <c:v>2.4705277142764688</c:v>
                </c:pt>
                <c:pt idx="3">
                  <c:v>1.8813449023861171</c:v>
                </c:pt>
                <c:pt idx="4">
                  <c:v>1.1891012728113761</c:v>
                </c:pt>
                <c:pt idx="5">
                  <c:v>1.0480484410130742</c:v>
                </c:pt>
                <c:pt idx="6">
                  <c:v>1.5389868374833913</c:v>
                </c:pt>
                <c:pt idx="7">
                  <c:v>3.012034140489793</c:v>
                </c:pt>
                <c:pt idx="8">
                  <c:v>2.906642831605291</c:v>
                </c:pt>
                <c:pt idx="9">
                  <c:v>2.8674171357098186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varietal'!$O$403:$X$403</c:f>
              <c:numCache>
                <c:formatCode>0.00</c:formatCode>
                <c:ptCount val="10"/>
                <c:pt idx="0">
                  <c:v>2.8764367193122258</c:v>
                </c:pt>
                <c:pt idx="1">
                  <c:v>2.8619964741242527</c:v>
                </c:pt>
                <c:pt idx="2">
                  <c:v>3.0474202036380276</c:v>
                </c:pt>
                <c:pt idx="3">
                  <c:v>3.0894176445023902</c:v>
                </c:pt>
                <c:pt idx="4">
                  <c:v>2.7978855721393039</c:v>
                </c:pt>
                <c:pt idx="5">
                  <c:v>2.5335870707529757</c:v>
                </c:pt>
                <c:pt idx="6">
                  <c:v>2.8791606885828416</c:v>
                </c:pt>
                <c:pt idx="7">
                  <c:v>2.9322050727042308</c:v>
                </c:pt>
                <c:pt idx="8">
                  <c:v>3.2637873322283975</c:v>
                </c:pt>
                <c:pt idx="9">
                  <c:v>3.4407313052600026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varietal'!$O$421:$X$421</c:f>
              <c:numCache>
                <c:formatCode>0.00</c:formatCode>
                <c:ptCount val="10"/>
                <c:pt idx="0">
                  <c:v>3.1808676329017245</c:v>
                </c:pt>
                <c:pt idx="1">
                  <c:v>3.3012232452478747</c:v>
                </c:pt>
                <c:pt idx="2">
                  <c:v>3.5017241887470898</c:v>
                </c:pt>
                <c:pt idx="3">
                  <c:v>3.534756464835175</c:v>
                </c:pt>
                <c:pt idx="4">
                  <c:v>2.9079908977236539</c:v>
                </c:pt>
                <c:pt idx="5">
                  <c:v>2.5781887082074162</c:v>
                </c:pt>
                <c:pt idx="6">
                  <c:v>2.5534246744031042</c:v>
                </c:pt>
                <c:pt idx="7">
                  <c:v>3.232087268746751</c:v>
                </c:pt>
                <c:pt idx="8">
                  <c:v>4.142890066835677</c:v>
                </c:pt>
                <c:pt idx="9">
                  <c:v>4.1048108517988036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varietal'!$O$439:$X$439</c:f>
              <c:numCache>
                <c:formatCode>0.00</c:formatCode>
                <c:ptCount val="10"/>
                <c:pt idx="0">
                  <c:v>2.5539237681193114</c:v>
                </c:pt>
                <c:pt idx="1">
                  <c:v>2.474610150631821</c:v>
                </c:pt>
                <c:pt idx="2">
                  <c:v>2.3871468949899999</c:v>
                </c:pt>
                <c:pt idx="3">
                  <c:v>2.5231338679827271</c:v>
                </c:pt>
                <c:pt idx="4">
                  <c:v>2.2812298837517515</c:v>
                </c:pt>
                <c:pt idx="5">
                  <c:v>1.8953611178812251</c:v>
                </c:pt>
                <c:pt idx="6">
                  <c:v>2.0957631211585914</c:v>
                </c:pt>
                <c:pt idx="7">
                  <c:v>2.438713360155087</c:v>
                </c:pt>
                <c:pt idx="8">
                  <c:v>2.8289605734767025</c:v>
                </c:pt>
                <c:pt idx="9">
                  <c:v>2.9565080860417647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varietal'!$O$457:$X$457</c:f>
              <c:numCache>
                <c:formatCode>0.00</c:formatCode>
                <c:ptCount val="10"/>
                <c:pt idx="0">
                  <c:v>2.897757962879798</c:v>
                </c:pt>
                <c:pt idx="1">
                  <c:v>2.9536606406032404</c:v>
                </c:pt>
                <c:pt idx="2">
                  <c:v>3.3071928209425878</c:v>
                </c:pt>
                <c:pt idx="3">
                  <c:v>3.0469327420546923</c:v>
                </c:pt>
                <c:pt idx="4">
                  <c:v>2.627403376091058</c:v>
                </c:pt>
                <c:pt idx="5">
                  <c:v>2.3613261474617131</c:v>
                </c:pt>
                <c:pt idx="6">
                  <c:v>2.8970833856109501</c:v>
                </c:pt>
                <c:pt idx="7">
                  <c:v>3.3794331836810936</c:v>
                </c:pt>
                <c:pt idx="8">
                  <c:v>4.2610367132771376</c:v>
                </c:pt>
                <c:pt idx="9">
                  <c:v>4.3980918381853522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Marzo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varietal'!$O$475:$X$475</c:f>
              <c:numCache>
                <c:formatCode>0.00</c:formatCode>
                <c:ptCount val="10"/>
                <c:pt idx="0">
                  <c:v>3.3579147895088206</c:v>
                </c:pt>
                <c:pt idx="1">
                  <c:v>3.5490770058991079</c:v>
                </c:pt>
                <c:pt idx="2">
                  <c:v>3.8495600261040628</c:v>
                </c:pt>
                <c:pt idx="3">
                  <c:v>3.6914079869698391</c:v>
                </c:pt>
                <c:pt idx="4">
                  <c:v>3.2646843817390989</c:v>
                </c:pt>
                <c:pt idx="5">
                  <c:v>2.7562705419464359</c:v>
                </c:pt>
                <c:pt idx="6">
                  <c:v>3.1037950290491501</c:v>
                </c:pt>
                <c:pt idx="7">
                  <c:v>3.3221374073708496</c:v>
                </c:pt>
                <c:pt idx="8">
                  <c:v>3.5486178660943586</c:v>
                </c:pt>
                <c:pt idx="9">
                  <c:v>3.5714665679601212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país'!$O$9:$X$9</c:f>
              <c:numCache>
                <c:formatCode>0.0</c:formatCode>
                <c:ptCount val="10"/>
                <c:pt idx="0">
                  <c:v>84.919644000000005</c:v>
                </c:pt>
                <c:pt idx="1">
                  <c:v>71.940237999999994</c:v>
                </c:pt>
                <c:pt idx="2">
                  <c:v>59.125504000000006</c:v>
                </c:pt>
                <c:pt idx="3">
                  <c:v>66.591666000000004</c:v>
                </c:pt>
                <c:pt idx="4">
                  <c:v>59.808662999999996</c:v>
                </c:pt>
                <c:pt idx="5">
                  <c:v>62.33761100000001</c:v>
                </c:pt>
                <c:pt idx="6">
                  <c:v>70.182049000000006</c:v>
                </c:pt>
                <c:pt idx="7">
                  <c:v>60.267755999999991</c:v>
                </c:pt>
                <c:pt idx="8">
                  <c:v>42.883291</c:v>
                </c:pt>
                <c:pt idx="9">
                  <c:v>44.740807000000004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país'!$O$27:$X$27</c:f>
              <c:numCache>
                <c:formatCode>0.0</c:formatCode>
                <c:ptCount val="10"/>
                <c:pt idx="0">
                  <c:v>31.171669000000001</c:v>
                </c:pt>
                <c:pt idx="1">
                  <c:v>31.688685000000007</c:v>
                </c:pt>
                <c:pt idx="2">
                  <c:v>33.612690999999998</c:v>
                </c:pt>
                <c:pt idx="3">
                  <c:v>37.636498000000003</c:v>
                </c:pt>
                <c:pt idx="4">
                  <c:v>43.767225999999994</c:v>
                </c:pt>
                <c:pt idx="5">
                  <c:v>59.061229000000004</c:v>
                </c:pt>
                <c:pt idx="6">
                  <c:v>59.963940000000001</c:v>
                </c:pt>
                <c:pt idx="7">
                  <c:v>49.081495000000004</c:v>
                </c:pt>
                <c:pt idx="8">
                  <c:v>48.384148999999994</c:v>
                </c:pt>
                <c:pt idx="9">
                  <c:v>49.923595999999996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país'!$O$45:$X$45</c:f>
              <c:numCache>
                <c:formatCode>0.0</c:formatCode>
                <c:ptCount val="10"/>
                <c:pt idx="0">
                  <c:v>21.949325000000002</c:v>
                </c:pt>
                <c:pt idx="1">
                  <c:v>19.929205</c:v>
                </c:pt>
                <c:pt idx="2">
                  <c:v>16.308536</c:v>
                </c:pt>
                <c:pt idx="3">
                  <c:v>29.386995000000002</c:v>
                </c:pt>
                <c:pt idx="4">
                  <c:v>36.985159000000003</c:v>
                </c:pt>
                <c:pt idx="5">
                  <c:v>43.082329000000001</c:v>
                </c:pt>
                <c:pt idx="6">
                  <c:v>21.877980999999998</c:v>
                </c:pt>
                <c:pt idx="7">
                  <c:v>11.635721999999999</c:v>
                </c:pt>
                <c:pt idx="8">
                  <c:v>11.456362</c:v>
                </c:pt>
                <c:pt idx="9">
                  <c:v>12.969593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país'!$O$63:$X$63</c:f>
              <c:numCache>
                <c:formatCode>0.0</c:formatCode>
                <c:ptCount val="10"/>
                <c:pt idx="0">
                  <c:v>12.254504000000001</c:v>
                </c:pt>
                <c:pt idx="1">
                  <c:v>15.15924</c:v>
                </c:pt>
                <c:pt idx="2">
                  <c:v>16.925502999999999</c:v>
                </c:pt>
                <c:pt idx="3">
                  <c:v>15.692542999999997</c:v>
                </c:pt>
                <c:pt idx="4">
                  <c:v>17.820460999999998</c:v>
                </c:pt>
                <c:pt idx="5">
                  <c:v>25.341104000000001</c:v>
                </c:pt>
                <c:pt idx="6">
                  <c:v>28.448935000000002</c:v>
                </c:pt>
                <c:pt idx="7">
                  <c:v>29.666103999999997</c:v>
                </c:pt>
                <c:pt idx="8">
                  <c:v>23.489874</c:v>
                </c:pt>
                <c:pt idx="9">
                  <c:v>26.415209000000004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país'!$O$81:$X$81</c:f>
              <c:numCache>
                <c:formatCode>0.0</c:formatCode>
                <c:ptCount val="10"/>
                <c:pt idx="0">
                  <c:v>11.001033</c:v>
                </c:pt>
                <c:pt idx="1">
                  <c:v>10.805010000000001</c:v>
                </c:pt>
                <c:pt idx="2">
                  <c:v>8.3452780000000004</c:v>
                </c:pt>
                <c:pt idx="3">
                  <c:v>7.4191139999999987</c:v>
                </c:pt>
                <c:pt idx="4">
                  <c:v>6.9434479999999992</c:v>
                </c:pt>
                <c:pt idx="5">
                  <c:v>8.4110200000000006</c:v>
                </c:pt>
                <c:pt idx="6">
                  <c:v>6.3880810000000006</c:v>
                </c:pt>
                <c:pt idx="7">
                  <c:v>6.9092389999999995</c:v>
                </c:pt>
                <c:pt idx="8">
                  <c:v>5.3590900000000001</c:v>
                </c:pt>
                <c:pt idx="9">
                  <c:v>5.2533189999999994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país'!$O$99:$X$99</c:f>
              <c:numCache>
                <c:formatCode>0.0</c:formatCode>
                <c:ptCount val="10"/>
                <c:pt idx="0">
                  <c:v>5.2279270000000002</c:v>
                </c:pt>
                <c:pt idx="1">
                  <c:v>5.5405129999999998</c:v>
                </c:pt>
                <c:pt idx="2">
                  <c:v>5.1672849999999997</c:v>
                </c:pt>
                <c:pt idx="3">
                  <c:v>4.5129969999999995</c:v>
                </c:pt>
                <c:pt idx="4">
                  <c:v>21.194238000000002</c:v>
                </c:pt>
                <c:pt idx="5">
                  <c:v>32.619371999999998</c:v>
                </c:pt>
                <c:pt idx="6">
                  <c:v>6.7369669999999999</c:v>
                </c:pt>
                <c:pt idx="7">
                  <c:v>2.815814</c:v>
                </c:pt>
                <c:pt idx="8">
                  <c:v>2.0806249999999999</c:v>
                </c:pt>
                <c:pt idx="9">
                  <c:v>1.4776330000000002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país'!$O$117:$X$117</c:f>
              <c:numCache>
                <c:formatCode>0.0</c:formatCode>
                <c:ptCount val="10"/>
                <c:pt idx="0">
                  <c:v>6.1797409999999999</c:v>
                </c:pt>
                <c:pt idx="1">
                  <c:v>6.7208400000000008</c:v>
                </c:pt>
                <c:pt idx="2">
                  <c:v>5.1672849999999997</c:v>
                </c:pt>
                <c:pt idx="3">
                  <c:v>4.5129969999999995</c:v>
                </c:pt>
                <c:pt idx="4">
                  <c:v>16.607266000000003</c:v>
                </c:pt>
                <c:pt idx="5">
                  <c:v>9.2315839999999998</c:v>
                </c:pt>
                <c:pt idx="6">
                  <c:v>8.8608030000000007</c:v>
                </c:pt>
                <c:pt idx="7">
                  <c:v>8.7989850000000001</c:v>
                </c:pt>
                <c:pt idx="8">
                  <c:v>7.0111460000000001</c:v>
                </c:pt>
                <c:pt idx="9">
                  <c:v>6.6936389999999992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0.1643279624539275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3.3604799493298691E-2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6.2960702641123032E-3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1.3480892331957383E-2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país'!$O$135:$X$135</c:f>
              <c:numCache>
                <c:formatCode>0.0</c:formatCode>
                <c:ptCount val="10"/>
                <c:pt idx="0">
                  <c:v>8.9002300000000005</c:v>
                </c:pt>
                <c:pt idx="1">
                  <c:v>12.812017000000003</c:v>
                </c:pt>
                <c:pt idx="2">
                  <c:v>12.447205</c:v>
                </c:pt>
                <c:pt idx="3">
                  <c:v>10.308225999999999</c:v>
                </c:pt>
                <c:pt idx="4">
                  <c:v>12.670753999999999</c:v>
                </c:pt>
                <c:pt idx="5">
                  <c:v>15.592862</c:v>
                </c:pt>
                <c:pt idx="6">
                  <c:v>12.102914</c:v>
                </c:pt>
                <c:pt idx="7">
                  <c:v>7.7844319999999989</c:v>
                </c:pt>
                <c:pt idx="8">
                  <c:v>2.1081400000000001</c:v>
                </c:pt>
                <c:pt idx="9">
                  <c:v>4.5066360000000003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país'!$O$153:$X$153</c:f>
              <c:numCache>
                <c:formatCode>0.0</c:formatCode>
                <c:ptCount val="10"/>
                <c:pt idx="0">
                  <c:v>3.218893</c:v>
                </c:pt>
                <c:pt idx="1">
                  <c:v>3.2035419999999997</c:v>
                </c:pt>
                <c:pt idx="2">
                  <c:v>3.3524210000000001</c:v>
                </c:pt>
                <c:pt idx="3">
                  <c:v>2.8733130000000005</c:v>
                </c:pt>
                <c:pt idx="4">
                  <c:v>2.4279169999999999</c:v>
                </c:pt>
                <c:pt idx="5">
                  <c:v>2.7871579999999998</c:v>
                </c:pt>
                <c:pt idx="6">
                  <c:v>2.6416620000000002</c:v>
                </c:pt>
                <c:pt idx="7">
                  <c:v>2.1600489999999999</c:v>
                </c:pt>
                <c:pt idx="8">
                  <c:v>2.0898460000000001</c:v>
                </c:pt>
                <c:pt idx="9">
                  <c:v>1.947036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Marzo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país'!$O$171:$X$171</c:f>
              <c:numCache>
                <c:formatCode>0.0</c:formatCode>
                <c:ptCount val="10"/>
                <c:pt idx="0">
                  <c:v>259.216724</c:v>
                </c:pt>
                <c:pt idx="1">
                  <c:v>250.01084399999999</c:v>
                </c:pt>
                <c:pt idx="2">
                  <c:v>221.41861100000003</c:v>
                </c:pt>
                <c:pt idx="3">
                  <c:v>290.77498600000001</c:v>
                </c:pt>
                <c:pt idx="4">
                  <c:v>354.38986399999999</c:v>
                </c:pt>
                <c:pt idx="5">
                  <c:v>345.04921300000001</c:v>
                </c:pt>
                <c:pt idx="6">
                  <c:v>279.76810499999999</c:v>
                </c:pt>
                <c:pt idx="7">
                  <c:v>232.19155499999999</c:v>
                </c:pt>
                <c:pt idx="8">
                  <c:v>181.14049300000002</c:v>
                </c:pt>
                <c:pt idx="9">
                  <c:v>194.31444299999998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país'!$O$188:$X$188</c:f>
              <c:numCache>
                <c:formatCode>0.0</c:formatCode>
                <c:ptCount val="10"/>
                <c:pt idx="0">
                  <c:v>290.03300000000002</c:v>
                </c:pt>
                <c:pt idx="1">
                  <c:v>285.21500000000003</c:v>
                </c:pt>
                <c:pt idx="2">
                  <c:v>265.423</c:v>
                </c:pt>
                <c:pt idx="3">
                  <c:v>256.09100000000001</c:v>
                </c:pt>
                <c:pt idx="4">
                  <c:v>240.40999999999997</c:v>
                </c:pt>
                <c:pt idx="5">
                  <c:v>222.76799999999997</c:v>
                </c:pt>
                <c:pt idx="6">
                  <c:v>242.88600000000002</c:v>
                </c:pt>
                <c:pt idx="7">
                  <c:v>228.36700000000002</c:v>
                </c:pt>
                <c:pt idx="8">
                  <c:v>181.495</c:v>
                </c:pt>
                <c:pt idx="9">
                  <c:v>194.88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país'!$O$206:$X$206</c:f>
              <c:numCache>
                <c:formatCode>0.0</c:formatCode>
                <c:ptCount val="10"/>
                <c:pt idx="0">
                  <c:v>89.263000000000005</c:v>
                </c:pt>
                <c:pt idx="1">
                  <c:v>90.006</c:v>
                </c:pt>
                <c:pt idx="2">
                  <c:v>101.77999999999999</c:v>
                </c:pt>
                <c:pt idx="3">
                  <c:v>112.49299999999999</c:v>
                </c:pt>
                <c:pt idx="4">
                  <c:v>112.979</c:v>
                </c:pt>
                <c:pt idx="5">
                  <c:v>127.18799999999999</c:v>
                </c:pt>
                <c:pt idx="6">
                  <c:v>129.405</c:v>
                </c:pt>
                <c:pt idx="7">
                  <c:v>104.42100000000001</c:v>
                </c:pt>
                <c:pt idx="8">
                  <c:v>102.31400000000001</c:v>
                </c:pt>
                <c:pt idx="9">
                  <c:v>102.334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país'!$O$224:$X$224</c:f>
              <c:numCache>
                <c:formatCode>0.0</c:formatCode>
                <c:ptCount val="10"/>
                <c:pt idx="0">
                  <c:v>71.929000000000002</c:v>
                </c:pt>
                <c:pt idx="1">
                  <c:v>66.831000000000003</c:v>
                </c:pt>
                <c:pt idx="2">
                  <c:v>65.698999999999998</c:v>
                </c:pt>
                <c:pt idx="3">
                  <c:v>70.50800000000001</c:v>
                </c:pt>
                <c:pt idx="4">
                  <c:v>68.234999999999999</c:v>
                </c:pt>
                <c:pt idx="5">
                  <c:v>66.191000000000003</c:v>
                </c:pt>
                <c:pt idx="6">
                  <c:v>65.265000000000001</c:v>
                </c:pt>
                <c:pt idx="7">
                  <c:v>47.177999999999997</c:v>
                </c:pt>
                <c:pt idx="8">
                  <c:v>44.658000000000001</c:v>
                </c:pt>
                <c:pt idx="9">
                  <c:v>50.048999999999999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país'!$O$242:$X$242</c:f>
              <c:numCache>
                <c:formatCode>0.0</c:formatCode>
                <c:ptCount val="10"/>
                <c:pt idx="0">
                  <c:v>46.392000000000003</c:v>
                </c:pt>
                <c:pt idx="1">
                  <c:v>47.827999999999996</c:v>
                </c:pt>
                <c:pt idx="2">
                  <c:v>58.126000000000005</c:v>
                </c:pt>
                <c:pt idx="3">
                  <c:v>54.622999999999998</c:v>
                </c:pt>
                <c:pt idx="4">
                  <c:v>57.698999999999998</c:v>
                </c:pt>
                <c:pt idx="5">
                  <c:v>72.95</c:v>
                </c:pt>
                <c:pt idx="6">
                  <c:v>83.87700000000001</c:v>
                </c:pt>
                <c:pt idx="7">
                  <c:v>92.844000000000008</c:v>
                </c:pt>
                <c:pt idx="8">
                  <c:v>84.156000000000006</c:v>
                </c:pt>
                <c:pt idx="9">
                  <c:v>99.665999999999997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país'!$O$260:$X$260</c:f>
              <c:numCache>
                <c:formatCode>0.0</c:formatCode>
                <c:ptCount val="10"/>
                <c:pt idx="0">
                  <c:v>32.323</c:v>
                </c:pt>
                <c:pt idx="1">
                  <c:v>33.661000000000001</c:v>
                </c:pt>
                <c:pt idx="2">
                  <c:v>29.588999999999999</c:v>
                </c:pt>
                <c:pt idx="3">
                  <c:v>27.375999999999998</c:v>
                </c:pt>
                <c:pt idx="4">
                  <c:v>25.060000000000002</c:v>
                </c:pt>
                <c:pt idx="5">
                  <c:v>30.679999999999996</c:v>
                </c:pt>
                <c:pt idx="6">
                  <c:v>24.896000000000001</c:v>
                </c:pt>
                <c:pt idx="7">
                  <c:v>24.242000000000001</c:v>
                </c:pt>
                <c:pt idx="8">
                  <c:v>21.129000000000001</c:v>
                </c:pt>
                <c:pt idx="9">
                  <c:v>19.532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país'!$O$278:$X$278</c:f>
              <c:numCache>
                <c:formatCode>0.0</c:formatCode>
                <c:ptCount val="10"/>
                <c:pt idx="0">
                  <c:v>20.498000000000001</c:v>
                </c:pt>
                <c:pt idx="1">
                  <c:v>22.654999999999998</c:v>
                </c:pt>
                <c:pt idx="2">
                  <c:v>23.808</c:v>
                </c:pt>
                <c:pt idx="3">
                  <c:v>22.841000000000001</c:v>
                </c:pt>
                <c:pt idx="4">
                  <c:v>25.887999999999998</c:v>
                </c:pt>
                <c:pt idx="5">
                  <c:v>24.304000000000002</c:v>
                </c:pt>
                <c:pt idx="6">
                  <c:v>22.758000000000003</c:v>
                </c:pt>
                <c:pt idx="7">
                  <c:v>15.07</c:v>
                </c:pt>
                <c:pt idx="8">
                  <c:v>13.044</c:v>
                </c:pt>
                <c:pt idx="9">
                  <c:v>8.4669999999999987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país'!$O$296:$X$296</c:f>
              <c:numCache>
                <c:formatCode>0.0</c:formatCode>
                <c:ptCount val="10"/>
                <c:pt idx="0">
                  <c:v>21.814</c:v>
                </c:pt>
                <c:pt idx="1">
                  <c:v>24.078000000000003</c:v>
                </c:pt>
                <c:pt idx="2">
                  <c:v>20.5</c:v>
                </c:pt>
                <c:pt idx="3">
                  <c:v>20.668999999999997</c:v>
                </c:pt>
                <c:pt idx="4">
                  <c:v>21.663999999999998</c:v>
                </c:pt>
                <c:pt idx="5">
                  <c:v>20.727</c:v>
                </c:pt>
                <c:pt idx="6">
                  <c:v>23.794999999999998</c:v>
                </c:pt>
                <c:pt idx="7">
                  <c:v>30.272000000000002</c:v>
                </c:pt>
                <c:pt idx="8">
                  <c:v>23.771000000000001</c:v>
                </c:pt>
                <c:pt idx="9">
                  <c:v>23.041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5.6556505845139111E-3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1.0756325985260388E-2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1.573928167507458E-2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país'!$O$314:$X$314</c:f>
              <c:numCache>
                <c:formatCode>0.0</c:formatCode>
                <c:ptCount val="10"/>
                <c:pt idx="0">
                  <c:v>10.866</c:v>
                </c:pt>
                <c:pt idx="1">
                  <c:v>17.068999999999999</c:v>
                </c:pt>
                <c:pt idx="2">
                  <c:v>21.578000000000003</c:v>
                </c:pt>
                <c:pt idx="3">
                  <c:v>16.611000000000001</c:v>
                </c:pt>
                <c:pt idx="4">
                  <c:v>13.198000000000002</c:v>
                </c:pt>
                <c:pt idx="5">
                  <c:v>13.869</c:v>
                </c:pt>
                <c:pt idx="6">
                  <c:v>16.586999999999996</c:v>
                </c:pt>
                <c:pt idx="7">
                  <c:v>15.324999999999999</c:v>
                </c:pt>
                <c:pt idx="8">
                  <c:v>8.2650000000000006</c:v>
                </c:pt>
                <c:pt idx="9">
                  <c:v>12.436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país'!$O$332:$X$332</c:f>
              <c:numCache>
                <c:formatCode>0.0</c:formatCode>
                <c:ptCount val="10"/>
                <c:pt idx="0">
                  <c:v>15.206</c:v>
                </c:pt>
                <c:pt idx="1">
                  <c:v>14.998999999999999</c:v>
                </c:pt>
                <c:pt idx="2">
                  <c:v>16.933</c:v>
                </c:pt>
                <c:pt idx="3">
                  <c:v>14.695</c:v>
                </c:pt>
                <c:pt idx="4">
                  <c:v>12.628</c:v>
                </c:pt>
                <c:pt idx="5">
                  <c:v>13.099999999999998</c:v>
                </c:pt>
                <c:pt idx="6">
                  <c:v>13.760000000000002</c:v>
                </c:pt>
                <c:pt idx="7">
                  <c:v>11.375</c:v>
                </c:pt>
                <c:pt idx="8">
                  <c:v>10.763999999999999</c:v>
                </c:pt>
                <c:pt idx="9">
                  <c:v>10.627999999999998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Marzo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país'!$O$350:$X$350</c:f>
              <c:numCache>
                <c:formatCode>0.0</c:formatCode>
                <c:ptCount val="10"/>
                <c:pt idx="0">
                  <c:v>804.178</c:v>
                </c:pt>
                <c:pt idx="1">
                  <c:v>811.58799999999997</c:v>
                </c:pt>
                <c:pt idx="2">
                  <c:v>809.84700000000009</c:v>
                </c:pt>
                <c:pt idx="3">
                  <c:v>821.95399999999995</c:v>
                </c:pt>
                <c:pt idx="4">
                  <c:v>796.41600000000005</c:v>
                </c:pt>
                <c:pt idx="5">
                  <c:v>782.67700000000013</c:v>
                </c:pt>
                <c:pt idx="6">
                  <c:v>820.07299999999998</c:v>
                </c:pt>
                <c:pt idx="7">
                  <c:v>768.10599999999999</c:v>
                </c:pt>
                <c:pt idx="8">
                  <c:v>638.83500000000004</c:v>
                </c:pt>
                <c:pt idx="9">
                  <c:v>679.52599999999995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país'!$O$367:$X$367</c:f>
              <c:numCache>
                <c:formatCode>0.00</c:formatCode>
                <c:ptCount val="10"/>
                <c:pt idx="0">
                  <c:v>3.4153817225140508</c:v>
                </c:pt>
                <c:pt idx="1">
                  <c:v>3.9646101810227545</c:v>
                </c:pt>
                <c:pt idx="2">
                  <c:v>4.4891456654644326</c:v>
                </c:pt>
                <c:pt idx="3">
                  <c:v>3.8456914413284089</c:v>
                </c:pt>
                <c:pt idx="4">
                  <c:v>4.0196518019471528</c:v>
                </c:pt>
                <c:pt idx="5">
                  <c:v>3.5735729429862166</c:v>
                </c:pt>
                <c:pt idx="6">
                  <c:v>3.4607994987436177</c:v>
                </c:pt>
                <c:pt idx="7">
                  <c:v>3.7892069517239042</c:v>
                </c:pt>
                <c:pt idx="8">
                  <c:v>4.232301107673849</c:v>
                </c:pt>
                <c:pt idx="9">
                  <c:v>4.3557551387036888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país'!$O$385:$X$385</c:f>
              <c:numCache>
                <c:formatCode>0.00</c:formatCode>
                <c:ptCount val="10"/>
                <c:pt idx="0">
                  <c:v>2.8635938614643957</c:v>
                </c:pt>
                <c:pt idx="1">
                  <c:v>2.8403198176257543</c:v>
                </c:pt>
                <c:pt idx="2">
                  <c:v>3.0280229571622215</c:v>
                </c:pt>
                <c:pt idx="3">
                  <c:v>2.9889337738064787</c:v>
                </c:pt>
                <c:pt idx="4">
                  <c:v>2.5813607652447521</c:v>
                </c:pt>
                <c:pt idx="5">
                  <c:v>2.1534939613261348</c:v>
                </c:pt>
                <c:pt idx="6">
                  <c:v>2.1580469862387295</c:v>
                </c:pt>
                <c:pt idx="7">
                  <c:v>2.1275024324340568</c:v>
                </c:pt>
                <c:pt idx="8">
                  <c:v>2.1146181572812206</c:v>
                </c:pt>
                <c:pt idx="9">
                  <c:v>2.0498122771444591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país'!$O$403:$X$403</c:f>
              <c:numCache>
                <c:formatCode>0.00</c:formatCode>
                <c:ptCount val="10"/>
                <c:pt idx="0">
                  <c:v>3.2770483830368358</c:v>
                </c:pt>
                <c:pt idx="1">
                  <c:v>3.3534202693986037</c:v>
                </c:pt>
                <c:pt idx="2">
                  <c:v>4.0285038460840381</c:v>
                </c:pt>
                <c:pt idx="3">
                  <c:v>2.3992926122592664</c:v>
                </c:pt>
                <c:pt idx="4">
                  <c:v>1.8449292052523012</c:v>
                </c:pt>
                <c:pt idx="5">
                  <c:v>1.5363839777557058</c:v>
                </c:pt>
                <c:pt idx="6">
                  <c:v>2.9831363323699756</c:v>
                </c:pt>
                <c:pt idx="7">
                  <c:v>4.054582947237825</c:v>
                </c:pt>
                <c:pt idx="8">
                  <c:v>3.8980960971729068</c:v>
                </c:pt>
                <c:pt idx="9">
                  <c:v>3.8589491590059919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país'!$O$421:$X$421</c:f>
              <c:numCache>
                <c:formatCode>0.00</c:formatCode>
                <c:ptCount val="10"/>
                <c:pt idx="0">
                  <c:v>3.7857101356366605</c:v>
                </c:pt>
                <c:pt idx="1">
                  <c:v>3.1550394346946149</c:v>
                </c:pt>
                <c:pt idx="2">
                  <c:v>3.4342258543217303</c:v>
                </c:pt>
                <c:pt idx="3">
                  <c:v>3.4808252556644268</c:v>
                </c:pt>
                <c:pt idx="4">
                  <c:v>3.2377950267392075</c:v>
                </c:pt>
                <c:pt idx="5">
                  <c:v>2.8787222529847161</c:v>
                </c:pt>
                <c:pt idx="6">
                  <c:v>2.9483353243276067</c:v>
                </c:pt>
                <c:pt idx="7">
                  <c:v>3.1296323912300723</c:v>
                </c:pt>
                <c:pt idx="8">
                  <c:v>3.5826501240491968</c:v>
                </c:pt>
                <c:pt idx="9">
                  <c:v>3.7730536222522404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país'!$O$439:$X$439</c:f>
              <c:numCache>
                <c:formatCode>0.00</c:formatCode>
                <c:ptCount val="10"/>
                <c:pt idx="0">
                  <c:v>2.9381786237710585</c:v>
                </c:pt>
                <c:pt idx="1">
                  <c:v>3.1153140996630264</c:v>
                </c:pt>
                <c:pt idx="2">
                  <c:v>3.5455978818201142</c:v>
                </c:pt>
                <c:pt idx="3">
                  <c:v>3.6899284739390716</c:v>
                </c:pt>
                <c:pt idx="4">
                  <c:v>3.6091578708445726</c:v>
                </c:pt>
                <c:pt idx="5">
                  <c:v>3.6475956542726085</c:v>
                </c:pt>
                <c:pt idx="6">
                  <c:v>3.8972580341420215</c:v>
                </c:pt>
                <c:pt idx="7">
                  <c:v>3.5086353214876489</c:v>
                </c:pt>
                <c:pt idx="8">
                  <c:v>3.9426469792446106</c:v>
                </c:pt>
                <c:pt idx="9">
                  <c:v>3.7180304489409459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país'!$O$457:$X$457</c:f>
              <c:numCache>
                <c:formatCode>0.00</c:formatCode>
                <c:ptCount val="10"/>
                <c:pt idx="0">
                  <c:v>3.3169674910323912</c:v>
                </c:pt>
                <c:pt idx="1">
                  <c:v>3.3708584046041854</c:v>
                </c:pt>
                <c:pt idx="2">
                  <c:v>4.6074485924426467</c:v>
                </c:pt>
                <c:pt idx="3">
                  <c:v>5.0611600229293314</c:v>
                </c:pt>
                <c:pt idx="4">
                  <c:v>1.55883575297704</c:v>
                </c:pt>
                <c:pt idx="5">
                  <c:v>2.6327009535958297</c:v>
                </c:pt>
                <c:pt idx="6">
                  <c:v>3.3780779986008547</c:v>
                </c:pt>
                <c:pt idx="7">
                  <c:v>5.3519160001335315</c:v>
                </c:pt>
                <c:pt idx="8">
                  <c:v>6.2692700510663864</c:v>
                </c:pt>
                <c:pt idx="9">
                  <c:v>5.7301102506508705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país'!$O$475:$X$475</c:f>
              <c:numCache>
                <c:formatCode>0.00</c:formatCode>
                <c:ptCount val="10"/>
                <c:pt idx="0">
                  <c:v>2.4509478968521039</c:v>
                </c:pt>
                <c:pt idx="1">
                  <c:v>1.879329382719364</c:v>
                </c:pt>
                <c:pt idx="2">
                  <c:v>1.6469560837151793</c:v>
                </c:pt>
                <c:pt idx="3">
                  <c:v>2.0050976763606072</c:v>
                </c:pt>
                <c:pt idx="4">
                  <c:v>1.7097640756027621</c:v>
                </c:pt>
                <c:pt idx="5">
                  <c:v>1.3292620687594106</c:v>
                </c:pt>
                <c:pt idx="6">
                  <c:v>2.6854225288610971</c:v>
                </c:pt>
                <c:pt idx="7">
                  <c:v>3.4403968184966791</c:v>
                </c:pt>
                <c:pt idx="8">
                  <c:v>3.3904585641206162</c:v>
                </c:pt>
                <c:pt idx="9">
                  <c:v>3.4422232809388142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país'!$O$493:$X$493</c:f>
              <c:numCache>
                <c:formatCode>0.00</c:formatCode>
                <c:ptCount val="10"/>
                <c:pt idx="0">
                  <c:v>1.2208673259005665</c:v>
                </c:pt>
                <c:pt idx="1">
                  <c:v>1.3322648572820341</c:v>
                </c:pt>
                <c:pt idx="2">
                  <c:v>1.733561871922251</c:v>
                </c:pt>
                <c:pt idx="3">
                  <c:v>1.6114314917038104</c:v>
                </c:pt>
                <c:pt idx="4">
                  <c:v>1.0416112569149401</c:v>
                </c:pt>
                <c:pt idx="5">
                  <c:v>0.88944543984292301</c:v>
                </c:pt>
                <c:pt idx="6">
                  <c:v>1.370496394504662</c:v>
                </c:pt>
                <c:pt idx="7">
                  <c:v>1.9686728588546989</c:v>
                </c:pt>
                <c:pt idx="8">
                  <c:v>3.9205176126822696</c:v>
                </c:pt>
                <c:pt idx="9">
                  <c:v>2.7594862331903438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país'!$O$511:$X$511</c:f>
              <c:numCache>
                <c:formatCode>0.00</c:formatCode>
                <c:ptCount val="10"/>
                <c:pt idx="0">
                  <c:v>4.7239843014353067</c:v>
                </c:pt>
                <c:pt idx="1">
                  <c:v>4.6820051055987406</c:v>
                </c:pt>
                <c:pt idx="2">
                  <c:v>5.0509765927370101</c:v>
                </c:pt>
                <c:pt idx="3">
                  <c:v>5.1143053332511972</c:v>
                </c:pt>
                <c:pt idx="4">
                  <c:v>5.2011662672158891</c:v>
                </c:pt>
                <c:pt idx="5">
                  <c:v>4.7001282309793702</c:v>
                </c:pt>
                <c:pt idx="6">
                  <c:v>5.2088420093108052</c:v>
                </c:pt>
                <c:pt idx="7">
                  <c:v>5.2660842416074827</c:v>
                </c:pt>
                <c:pt idx="8">
                  <c:v>5.1506187537263504</c:v>
                </c:pt>
                <c:pt idx="9">
                  <c:v>5.4585534114418008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Marzo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país'!$O$529:$X$529</c:f>
              <c:numCache>
                <c:formatCode>0.00</c:formatCode>
                <c:ptCount val="10"/>
                <c:pt idx="0">
                  <c:v>3.1023384123934843</c:v>
                </c:pt>
                <c:pt idx="1">
                  <c:v>3.246211192343321</c:v>
                </c:pt>
                <c:pt idx="2">
                  <c:v>3.657538073888468</c:v>
                </c:pt>
                <c:pt idx="3">
                  <c:v>2.8267699753238058</c:v>
                </c:pt>
                <c:pt idx="4">
                  <c:v>2.2472877497421879</c:v>
                </c:pt>
                <c:pt idx="5">
                  <c:v>2.2683054199575876</c:v>
                </c:pt>
                <c:pt idx="6">
                  <c:v>2.9312598017561724</c:v>
                </c:pt>
                <c:pt idx="7">
                  <c:v>3.3080703559610511</c:v>
                </c:pt>
                <c:pt idx="8">
                  <c:v>3.5267376687552683</c:v>
                </c:pt>
                <c:pt idx="9">
                  <c:v>3.497043191997828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tipo'!$O$10:$X$10</c:f>
              <c:numCache>
                <c:formatCode>0.0</c:formatCode>
                <c:ptCount val="10"/>
                <c:pt idx="0">
                  <c:v>256.08607699999999</c:v>
                </c:pt>
                <c:pt idx="1">
                  <c:v>232.673868</c:v>
                </c:pt>
                <c:pt idx="2">
                  <c:v>220.02089999999998</c:v>
                </c:pt>
                <c:pt idx="3">
                  <c:v>287.78309999999999</c:v>
                </c:pt>
                <c:pt idx="4">
                  <c:v>362.33339999999998</c:v>
                </c:pt>
                <c:pt idx="5">
                  <c:v>357.07450000000006</c:v>
                </c:pt>
                <c:pt idx="6">
                  <c:v>310.78249999999997</c:v>
                </c:pt>
                <c:pt idx="7">
                  <c:v>279.96639999999996</c:v>
                </c:pt>
                <c:pt idx="8">
                  <c:v>242.50169999999997</c:v>
                </c:pt>
                <c:pt idx="9">
                  <c:v>253.43829999999997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tipo'!$O$28:$X$28</c:f>
              <c:numCache>
                <c:formatCode>0.0</c:formatCode>
                <c:ptCount val="10"/>
                <c:pt idx="0">
                  <c:v>951.33182999999997</c:v>
                </c:pt>
                <c:pt idx="1">
                  <c:v>867.12368800000002</c:v>
                </c:pt>
                <c:pt idx="2">
                  <c:v>845.22019999999998</c:v>
                </c:pt>
                <c:pt idx="3">
                  <c:v>817.7201</c:v>
                </c:pt>
                <c:pt idx="4">
                  <c:v>863.98309999999992</c:v>
                </c:pt>
                <c:pt idx="5">
                  <c:v>889.00529999999992</c:v>
                </c:pt>
                <c:pt idx="6">
                  <c:v>805.76020000000005</c:v>
                </c:pt>
                <c:pt idx="7">
                  <c:v>710.0277000000001</c:v>
                </c:pt>
                <c:pt idx="8">
                  <c:v>677.49340000000007</c:v>
                </c:pt>
                <c:pt idx="9">
                  <c:v>691.86860000000001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tipo'!$O$46:$X$46</c:f>
              <c:numCache>
                <c:formatCode>0.0</c:formatCode>
                <c:ptCount val="10"/>
                <c:pt idx="0">
                  <c:v>50.805325000000003</c:v>
                </c:pt>
                <c:pt idx="1">
                  <c:v>46.879271000000003</c:v>
                </c:pt>
                <c:pt idx="2">
                  <c:v>41.315999999999988</c:v>
                </c:pt>
                <c:pt idx="3">
                  <c:v>32.543999999999997</c:v>
                </c:pt>
                <c:pt idx="4">
                  <c:v>32.847100000000005</c:v>
                </c:pt>
                <c:pt idx="5">
                  <c:v>30.761199999999999</c:v>
                </c:pt>
                <c:pt idx="6">
                  <c:v>40.859899999999996</c:v>
                </c:pt>
                <c:pt idx="7">
                  <c:v>44.078899999999997</c:v>
                </c:pt>
                <c:pt idx="8">
                  <c:v>39.402000000000001</c:v>
                </c:pt>
                <c:pt idx="9">
                  <c:v>33.275500000000001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tipo'!$O$64:$X$64</c:f>
              <c:numCache>
                <c:formatCode>#,##0.0</c:formatCode>
                <c:ptCount val="10"/>
                <c:pt idx="0">
                  <c:v>1262.2507539999999</c:v>
                </c:pt>
                <c:pt idx="1">
                  <c:v>1150.1233569999999</c:v>
                </c:pt>
                <c:pt idx="2">
                  <c:v>1110.8868</c:v>
                </c:pt>
                <c:pt idx="3">
                  <c:v>1141.9353999999998</c:v>
                </c:pt>
                <c:pt idx="4">
                  <c:v>1262.7048</c:v>
                </c:pt>
                <c:pt idx="5">
                  <c:v>1281.6442999999999</c:v>
                </c:pt>
                <c:pt idx="6">
                  <c:v>1162.1496</c:v>
                </c:pt>
                <c:pt idx="7">
                  <c:v>1038.7458999999999</c:v>
                </c:pt>
                <c:pt idx="8" formatCode="0.0">
                  <c:v>962.85440000000006</c:v>
                </c:pt>
                <c:pt idx="9" formatCode="0.0">
                  <c:v>981.43638900000019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682.66699999999992</c:v>
                </c:pt>
                <c:pt idx="5">
                  <c:v>675.49</c:v>
                </c:pt>
                <c:pt idx="6">
                  <c:v>698.06399999999996</c:v>
                </c:pt>
                <c:pt idx="7">
                  <c:v>709.62</c:v>
                </c:pt>
                <c:pt idx="8">
                  <c:v>709.97399999999993</c:v>
                </c:pt>
                <c:pt idx="9">
                  <c:v>715.65099999999995</c:v>
                </c:pt>
                <c:pt idx="10">
                  <c:v>719.59900000000005</c:v>
                </c:pt>
                <c:pt idx="11">
                  <c:v>719.78700000000003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715.63600000000008</c:v>
                </c:pt>
                <c:pt idx="1">
                  <c:v>718.0150000000001</c:v>
                </c:pt>
                <c:pt idx="2">
                  <c:v>718.221</c:v>
                </c:pt>
                <c:pt idx="3">
                  <c:v>653.49400000000003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 2024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Traslado'!$O$10:$X$10</c:f>
              <c:numCache>
                <c:formatCode>#,##0</c:formatCode>
                <c:ptCount val="10"/>
                <c:pt idx="0">
                  <c:v>32808.964197800211</c:v>
                </c:pt>
                <c:pt idx="1">
                  <c:v>70224.600879805585</c:v>
                </c:pt>
                <c:pt idx="2">
                  <c:v>66377.22632505995</c:v>
                </c:pt>
                <c:pt idx="3">
                  <c:v>41019.311664896835</c:v>
                </c:pt>
                <c:pt idx="4">
                  <c:v>23335.058628336683</c:v>
                </c:pt>
                <c:pt idx="5">
                  <c:v>34409.693776592809</c:v>
                </c:pt>
                <c:pt idx="6">
                  <c:v>53039.509801562199</c:v>
                </c:pt>
                <c:pt idx="7">
                  <c:v>58553.105259765027</c:v>
                </c:pt>
                <c:pt idx="8">
                  <c:v>52452.813987782378</c:v>
                </c:pt>
                <c:pt idx="9">
                  <c:v>39237.995825597012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Rosado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Traslado'!$O$27:$X$27</c:f>
              <c:numCache>
                <c:formatCode>#,##0</c:formatCode>
                <c:ptCount val="10"/>
                <c:pt idx="0">
                  <c:v>22164.287973526818</c:v>
                </c:pt>
                <c:pt idx="1">
                  <c:v>38062.541857498982</c:v>
                </c:pt>
                <c:pt idx="2">
                  <c:v>44684.919915387967</c:v>
                </c:pt>
                <c:pt idx="3">
                  <c:v>27841.575130043813</c:v>
                </c:pt>
                <c:pt idx="4">
                  <c:v>19851.309440129829</c:v>
                </c:pt>
                <c:pt idx="5">
                  <c:v>29794.032179763704</c:v>
                </c:pt>
                <c:pt idx="6">
                  <c:v>41226.828731320245</c:v>
                </c:pt>
                <c:pt idx="7">
                  <c:v>54784.61481058105</c:v>
                </c:pt>
                <c:pt idx="8">
                  <c:v>45094.983988602966</c:v>
                </c:pt>
                <c:pt idx="9">
                  <c:v>31275.064632017878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Abril</a:t>
            </a:r>
            <a:endParaRPr lang="es-AR"/>
          </a:p>
          <a:p>
            <a:pPr>
              <a:defRPr/>
            </a:pPr>
            <a:r>
              <a:rPr lang="es-AR"/>
              <a:t>Blanco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Traslado'!$O$44:$X$44</c:f>
              <c:numCache>
                <c:formatCode>#,##0</c:formatCode>
                <c:ptCount val="10"/>
                <c:pt idx="0">
                  <c:v>21592.510936404979</c:v>
                </c:pt>
                <c:pt idx="1">
                  <c:v>29161.147273293722</c:v>
                </c:pt>
                <c:pt idx="2">
                  <c:v>41122.452182374247</c:v>
                </c:pt>
                <c:pt idx="3">
                  <c:v>28367.406265813192</c:v>
                </c:pt>
                <c:pt idx="4">
                  <c:v>19096.508697571331</c:v>
                </c:pt>
                <c:pt idx="5">
                  <c:v>31944.088548166776</c:v>
                </c:pt>
                <c:pt idx="6">
                  <c:v>47398.395556866853</c:v>
                </c:pt>
                <c:pt idx="7">
                  <c:v>44191.592875548631</c:v>
                </c:pt>
                <c:pt idx="8">
                  <c:v>36928.657482805771</c:v>
                </c:pt>
                <c:pt idx="9">
                  <c:v>27001.062579771529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Promedio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Traslado'!$O$61:$X$61</c:f>
              <c:numCache>
                <c:formatCode>#,##0</c:formatCode>
                <c:ptCount val="10"/>
                <c:pt idx="0">
                  <c:v>29944.43013134845</c:v>
                </c:pt>
                <c:pt idx="1">
                  <c:v>50725.69478814293</c:v>
                </c:pt>
                <c:pt idx="2">
                  <c:v>55611.240973203858</c:v>
                </c:pt>
                <c:pt idx="3">
                  <c:v>35173.349592620711</c:v>
                </c:pt>
                <c:pt idx="4">
                  <c:v>21784.879260905127</c:v>
                </c:pt>
                <c:pt idx="5">
                  <c:v>33717.358069740556</c:v>
                </c:pt>
                <c:pt idx="6">
                  <c:v>51292.211664716095</c:v>
                </c:pt>
                <c:pt idx="7">
                  <c:v>52660.898885521667</c:v>
                </c:pt>
                <c:pt idx="8">
                  <c:v>45920.948170709045</c:v>
                </c:pt>
                <c:pt idx="9">
                  <c:v>35054.973118583781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Tinto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Traslado'!$O$78:$X$78</c:f>
              <c:numCache>
                <c:formatCode>#,##0</c:formatCode>
                <c:ptCount val="10"/>
                <c:pt idx="0">
                  <c:v>37160.97338589486</c:v>
                </c:pt>
                <c:pt idx="1">
                  <c:v>74918.449293667029</c:v>
                </c:pt>
                <c:pt idx="2">
                  <c:v>76200.409603566499</c:v>
                </c:pt>
                <c:pt idx="3">
                  <c:v>45166.176585570654</c:v>
                </c:pt>
                <c:pt idx="4">
                  <c:v>28986.472834147047</c:v>
                </c:pt>
                <c:pt idx="5">
                  <c:v>40932.289045101686</c:v>
                </c:pt>
                <c:pt idx="6">
                  <c:v>58850.026720489586</c:v>
                </c:pt>
                <c:pt idx="7">
                  <c:v>74932.93567142816</c:v>
                </c:pt>
                <c:pt idx="8">
                  <c:v>68450.310833055861</c:v>
                </c:pt>
                <c:pt idx="9">
                  <c:v>48029.358223625073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Rosado financiado-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Traslado'!$O$95:$X$95</c:f>
              <c:numCache>
                <c:formatCode>#,##0</c:formatCode>
                <c:ptCount val="10"/>
                <c:pt idx="0">
                  <c:v>22744.734642790685</c:v>
                </c:pt>
                <c:pt idx="1">
                  <c:v>41159.22593118513</c:v>
                </c:pt>
                <c:pt idx="2">
                  <c:v>46718.776506379574</c:v>
                </c:pt>
                <c:pt idx="3">
                  <c:v>32698.850928501557</c:v>
                </c:pt>
                <c:pt idx="4">
                  <c:v>21778.754157490181</c:v>
                </c:pt>
                <c:pt idx="5">
                  <c:v>36519.750409297085</c:v>
                </c:pt>
                <c:pt idx="6">
                  <c:v>51827.952529943381</c:v>
                </c:pt>
                <c:pt idx="7">
                  <c:v>57893.149074062785</c:v>
                </c:pt>
                <c:pt idx="8">
                  <c:v>54484.60520731131</c:v>
                </c:pt>
                <c:pt idx="9">
                  <c:v>34759.366520919757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Blanco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Traslado'!$O$112:$X$112</c:f>
              <c:numCache>
                <c:formatCode>#,##0</c:formatCode>
                <c:ptCount val="10"/>
                <c:pt idx="0">
                  <c:v>24690.370074897884</c:v>
                </c:pt>
                <c:pt idx="1">
                  <c:v>32476.569325034132</c:v>
                </c:pt>
                <c:pt idx="2">
                  <c:v>45821.314730687758</c:v>
                </c:pt>
                <c:pt idx="3">
                  <c:v>31013.083871282666</c:v>
                </c:pt>
                <c:pt idx="4">
                  <c:v>22918.647528041507</c:v>
                </c:pt>
                <c:pt idx="5">
                  <c:v>39115.900319978857</c:v>
                </c:pt>
                <c:pt idx="6">
                  <c:v>50628.103963222558</c:v>
                </c:pt>
                <c:pt idx="7">
                  <c:v>50926.32609549183</c:v>
                </c:pt>
                <c:pt idx="8">
                  <c:v>47099.089860806067</c:v>
                </c:pt>
                <c:pt idx="9">
                  <c:v>30144.292019692653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Promedio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Traslado'!$O$129:$X$129</c:f>
              <c:numCache>
                <c:formatCode>#,##0</c:formatCode>
                <c:ptCount val="10"/>
                <c:pt idx="0">
                  <c:v>32948.566346422645</c:v>
                </c:pt>
                <c:pt idx="1">
                  <c:v>57311.530224479146</c:v>
                </c:pt>
                <c:pt idx="2">
                  <c:v>64589.450911345215</c:v>
                </c:pt>
                <c:pt idx="3">
                  <c:v>39566.938831982909</c:v>
                </c:pt>
                <c:pt idx="4">
                  <c:v>26840.627165320737</c:v>
                </c:pt>
                <c:pt idx="5">
                  <c:v>40159.547786398187</c:v>
                </c:pt>
                <c:pt idx="6">
                  <c:v>55638.096223304274</c:v>
                </c:pt>
                <c:pt idx="7">
                  <c:v>64101.101057451066</c:v>
                </c:pt>
                <c:pt idx="8">
                  <c:v>57928.405119298746</c:v>
                </c:pt>
                <c:pt idx="9">
                  <c:v>41727.349425255663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-0.29883443396945042</c:v>
                </c:pt>
                <c:pt idx="4">
                  <c:v>0.79298122511654401</c:v>
                </c:pt>
                <c:pt idx="5">
                  <c:v>0.23405728979045781</c:v>
                </c:pt>
                <c:pt idx="6">
                  <c:v>0.461685299437675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Dic 2024/Hl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86543.770295580471</c:v>
                </c:pt>
                <c:pt idx="1">
                  <c:v>66548.994291544062</c:v>
                </c:pt>
                <c:pt idx="2">
                  <c:v>37052.444795538693</c:v>
                </c:pt>
                <c:pt idx="3">
                  <c:v>25979.89842787958</c:v>
                </c:pt>
                <c:pt idx="4">
                  <c:v>46581.470111622904</c:v>
                </c:pt>
                <c:pt idx="5">
                  <c:v>57484.20276040458</c:v>
                </c:pt>
                <c:pt idx="6">
                  <c:v>84023.814124777986</c:v>
                </c:pt>
                <c:pt idx="7">
                  <c:v>63904.969615317474</c:v>
                </c:pt>
                <c:pt idx="8">
                  <c:v>42494.811625020237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4.0855301070801557</c:v>
                </c:pt>
                <c:pt idx="5">
                  <c:v>4.5808590806330063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0.72495983576050205</c:v>
                </c:pt>
                <c:pt idx="1">
                  <c:v>0.20833305156865656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1.0905857242078643</c:v>
                </c:pt>
                <c:pt idx="5">
                  <c:v>0.43717436492202699</c:v>
                </c:pt>
                <c:pt idx="6">
                  <c:v>-5.7260962268746218E-2</c:v>
                </c:pt>
                <c:pt idx="7">
                  <c:v>-9.2757706984446298E-2</c:v>
                </c:pt>
                <c:pt idx="8">
                  <c:v>-0.3678655229469977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Dic 2024/Hl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38526.874988593772</c:v>
                </c:pt>
                <c:pt idx="1">
                  <c:v>46553.296422371663</c:v>
                </c:pt>
                <c:pt idx="2">
                  <c:v>19753.895089540954</c:v>
                </c:pt>
                <c:pt idx="3">
                  <c:v>19221.094140370871</c:v>
                </c:pt>
                <c:pt idx="4">
                  <c:v>40183.345013514772</c:v>
                </c:pt>
                <c:pt idx="5">
                  <c:v>57750.473350240791</c:v>
                </c:pt>
                <c:pt idx="6">
                  <c:v>54443.625674730421</c:v>
                </c:pt>
                <c:pt idx="7">
                  <c:v>49393.559797222901</c:v>
                </c:pt>
                <c:pt idx="8">
                  <c:v>31223.372092203699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0.25964666453838436</c:v>
                </c:pt>
                <c:pt idx="2">
                  <c:v>-0.37352402652177574</c:v>
                </c:pt>
                <c:pt idx="3">
                  <c:v>-0.21627970155149545</c:v>
                </c:pt>
                <c:pt idx="4">
                  <c:v>1.1629914064140086</c:v>
                </c:pt>
                <c:pt idx="5">
                  <c:v>-3.9162653605147701E-2</c:v>
                </c:pt>
                <c:pt idx="6">
                  <c:v>0.21305080556625344</c:v>
                </c:pt>
                <c:pt idx="7">
                  <c:v>-0.33525018746485324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Dic 2024/Hl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34056.94114856331</c:v>
                </c:pt>
                <c:pt idx="1">
                  <c:v>42899.712322167827</c:v>
                </c:pt>
                <c:pt idx="2">
                  <c:v>26875.639038965863</c:v>
                </c:pt>
                <c:pt idx="3">
                  <c:v>21062.983848612606</c:v>
                </c:pt>
                <c:pt idx="4">
                  <c:v>45559.05305798613</c:v>
                </c:pt>
                <c:pt idx="5">
                  <c:v>43774.839644497675</c:v>
                </c:pt>
                <c:pt idx="6">
                  <c:v>53101.104494291474</c:v>
                </c:pt>
                <c:pt idx="7">
                  <c:v>35298.949257989494</c:v>
                </c:pt>
                <c:pt idx="8">
                  <c:v>26141.461794644725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1.0410829240226498</c:v>
                </c:pt>
                <c:pt idx="1">
                  <c:v>-0.14928343186560922</c:v>
                </c:pt>
                <c:pt idx="2">
                  <c:v>-0.40809660051641428</c:v>
                </c:pt>
                <c:pt idx="3">
                  <c:v>-0.25912398920010238</c:v>
                </c:pt>
                <c:pt idx="4">
                  <c:v>0.87443670221368897</c:v>
                </c:pt>
                <c:pt idx="5">
                  <c:v>0.14292805264270414</c:v>
                </c:pt>
                <c:pt idx="6">
                  <c:v>0.36529350629334334</c:v>
                </c:pt>
                <c:pt idx="7">
                  <c:v>-0.23444585980726684</c:v>
                </c:pt>
                <c:pt idx="8">
                  <c:v>-0.29282350556374737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Dic 2024/Hl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65467.848533809018</c:v>
                </c:pt>
                <c:pt idx="1">
                  <c:v>55694.583427824116</c:v>
                </c:pt>
                <c:pt idx="2">
                  <c:v>32965.813263751268</c:v>
                </c:pt>
                <c:pt idx="3">
                  <c:v>24423.580223622394</c:v>
                </c:pt>
                <c:pt idx="4">
                  <c:v>45780.455170618232</c:v>
                </c:pt>
                <c:pt idx="5">
                  <c:v>52323.766477251309</c:v>
                </c:pt>
                <c:pt idx="6">
                  <c:v>71437.298596200533</c:v>
                </c:pt>
                <c:pt idx="7">
                  <c:v>54689.119704505843</c:v>
                </c:pt>
                <c:pt idx="8">
                  <c:v>38674.859956437031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1.0525414538086133</c:v>
                </c:pt>
                <c:pt idx="5">
                  <c:v>0.93704891740176421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0.75863663815721571</c:v>
                </c:pt>
                <c:pt idx="9">
                  <c:v>0.75150650052174295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0.24136336184278456</c:v>
                </c:pt>
                <c:pt idx="9">
                  <c:v>0.24849349947825727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0.29589338013440336</c:v>
                </c:pt>
                <c:pt idx="9">
                  <c:v>0.29558832414340358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0.65871407580722319</c:v>
                </c:pt>
                <c:pt idx="9">
                  <c:v>0.66477811306524925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4.1431918787802703E-2</c:v>
                </c:pt>
                <c:pt idx="9">
                  <c:v>3.6015020184752597E-2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0.92981876791192231</c:v>
                </c:pt>
                <c:pt idx="9">
                  <c:v>0.92830382916168519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7.0181232088077736E-2</c:v>
                </c:pt>
                <c:pt idx="9">
                  <c:v>7.1696170838314838E-2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0.70032234216239542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8.8772046286939701E-2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5.2053526769380978E-2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0.66620725677995907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9.7557456403467052E-2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5.9925322190273266E-2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0.23189415203747968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0.26028184159621615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7.0922223935878465E-2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0.13257521009797618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2.8267440841844915E-2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7.58316194890856E-3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0.28498124880777032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0.15411769101732348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7.3270750696655479E-2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0.14754051614451102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3.0006823978713914E-2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1.2731538384388626E-2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0.25407896512009637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0.70492846462551395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3.7605995169404188E-2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967.68130000000019</c:v>
                </c:pt>
                <c:pt idx="5">
                  <c:v>959.55730000000005</c:v>
                </c:pt>
                <c:pt idx="6">
                  <c:v>971.06990000000008</c:v>
                </c:pt>
                <c:pt idx="7">
                  <c:v>977.43420000000015</c:v>
                </c:pt>
                <c:pt idx="8">
                  <c:v>975.35960000000023</c:v>
                </c:pt>
                <c:pt idx="9">
                  <c:v>969.73418900000013</c:v>
                </c:pt>
                <c:pt idx="10">
                  <c:v>973.39178900000013</c:v>
                </c:pt>
                <c:pt idx="11">
                  <c:v>972.82688900000016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976.23728900000003</c:v>
                </c:pt>
                <c:pt idx="1">
                  <c:v>979.46778899999993</c:v>
                </c:pt>
                <c:pt idx="2">
                  <c:v>979.94158900000002</c:v>
                </c:pt>
                <c:pt idx="3">
                  <c:v>981.43638900000019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3.1286825163988639E-2</c:v>
                </c:pt>
                <c:pt idx="9">
                  <c:v>2.9109054992626667E-2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0.62653650610349654</c:v>
                </c:pt>
                <c:pt idx="9">
                  <c:v>0.63451475314467953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0.33722820158588085</c:v>
                </c:pt>
                <c:pt idx="9">
                  <c:v>0.33175244056277803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81584.626447458606</c:v>
                </c:pt>
                <c:pt idx="1">
                  <c:v>91247.754494292312</c:v>
                </c:pt>
                <c:pt idx="2">
                  <c:v>79239.061432583025</c:v>
                </c:pt>
                <c:pt idx="3">
                  <c:v>98824.537777097546</c:v>
                </c:pt>
                <c:pt idx="4">
                  <c:v>80198.208551723001</c:v>
                </c:pt>
                <c:pt idx="5">
                  <c:v>74365.905953144436</c:v>
                </c:pt>
                <c:pt idx="6">
                  <c:v>80448.518855054121</c:v>
                </c:pt>
                <c:pt idx="7">
                  <c:v>73054.074664788626</c:v>
                </c:pt>
                <c:pt idx="8">
                  <c:v>72134.805128349733</c:v>
                </c:pt>
                <c:pt idx="9">
                  <c:v>63523.271441791396</c:v>
                </c:pt>
                <c:pt idx="10">
                  <c:v>63901.112424769504</c:v>
                </c:pt>
                <c:pt idx="11">
                  <c:v>63048.129153070659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64828.631350798823</c:v>
                </c:pt>
                <c:pt idx="1">
                  <c:v>62394.199584379923</c:v>
                </c:pt>
                <c:pt idx="2">
                  <c:v>64492.077910773682</c:v>
                </c:pt>
                <c:pt idx="3">
                  <c:v>59014.794978026432</c:v>
                </c:pt>
                <c:pt idx="4">
                  <c:v>56654.322803318639</c:v>
                </c:pt>
                <c:pt idx="5">
                  <c:v>57102.322499290742</c:v>
                </c:pt>
                <c:pt idx="6">
                  <c:v>53923.005318697411</c:v>
                </c:pt>
                <c:pt idx="7">
                  <c:v>54002.863981084243</c:v>
                </c:pt>
                <c:pt idx="8">
                  <c:v>49234.633615431674</c:v>
                </c:pt>
                <c:pt idx="9">
                  <c:v>48939.691141119998</c:v>
                </c:pt>
                <c:pt idx="10">
                  <c:v>44958.177940000001</c:v>
                </c:pt>
                <c:pt idx="11">
                  <c:v>44774.559999999998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43182.56133464181</c:v>
                </c:pt>
                <c:pt idx="1">
                  <c:v>43867.781679342501</c:v>
                </c:pt>
                <c:pt idx="2">
                  <c:v>40434.091861076391</c:v>
                </c:pt>
                <c:pt idx="3">
                  <c:v>39278.286509497499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48273.471613682217</c:v>
                </c:pt>
                <c:pt idx="1">
                  <c:v>42532.562505514346</c:v>
                </c:pt>
                <c:pt idx="2">
                  <c:v>68497.279363677881</c:v>
                </c:pt>
                <c:pt idx="3">
                  <c:v>63255.742741690272</c:v>
                </c:pt>
                <c:pt idx="4">
                  <c:v>63075.58509348979</c:v>
                </c:pt>
                <c:pt idx="5">
                  <c:v>57525.84383284278</c:v>
                </c:pt>
                <c:pt idx="6">
                  <c:v>56263.08783346758</c:v>
                </c:pt>
                <c:pt idx="7">
                  <c:v>50846.144555888699</c:v>
                </c:pt>
                <c:pt idx="8">
                  <c:v>60747.650890193399</c:v>
                </c:pt>
                <c:pt idx="9">
                  <c:v>59722.473374197354</c:v>
                </c:pt>
                <c:pt idx="10">
                  <c:v>42187.639921735397</c:v>
                </c:pt>
                <c:pt idx="11">
                  <c:v>36204.132702756317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34313.843509169878</c:v>
                </c:pt>
                <c:pt idx="1">
                  <c:v>37805.992513367019</c:v>
                </c:pt>
                <c:pt idx="2">
                  <c:v>33777.011751431579</c:v>
                </c:pt>
                <c:pt idx="3">
                  <c:v>32719.672351132995</c:v>
                </c:pt>
                <c:pt idx="4">
                  <c:v>32792.383532586296</c:v>
                </c:pt>
                <c:pt idx="5">
                  <c:v>32236.231271914377</c:v>
                </c:pt>
                <c:pt idx="6">
                  <c:v>33220.106657338343</c:v>
                </c:pt>
                <c:pt idx="7">
                  <c:v>33762.398327579744</c:v>
                </c:pt>
                <c:pt idx="8">
                  <c:v>36467.051654492156</c:v>
                </c:pt>
                <c:pt idx="9">
                  <c:v>30365.35796736</c:v>
                </c:pt>
                <c:pt idx="10">
                  <c:v>29165.526519999996</c:v>
                </c:pt>
                <c:pt idx="11">
                  <c:v>28080.620000000003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28102.325809617276</c:v>
                </c:pt>
                <c:pt idx="1">
                  <c:v>25404.990723135434</c:v>
                </c:pt>
                <c:pt idx="2">
                  <c:v>24917.068851181462</c:v>
                </c:pt>
                <c:pt idx="3">
                  <c:v>27217.442921106744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49725.880660125571</c:v>
                </c:pt>
                <c:pt idx="1">
                  <c:v>53555.879129812965</c:v>
                </c:pt>
                <c:pt idx="2">
                  <c:v>60049.117234252721</c:v>
                </c:pt>
                <c:pt idx="3">
                  <c:v>70581.980390884462</c:v>
                </c:pt>
                <c:pt idx="4">
                  <c:v>81090.710366782572</c:v>
                </c:pt>
                <c:pt idx="5">
                  <c:v>60393.718447331972</c:v>
                </c:pt>
                <c:pt idx="6">
                  <c:v>61224.823129724668</c:v>
                </c:pt>
                <c:pt idx="7">
                  <c:v>53541.1472484103</c:v>
                </c:pt>
                <c:pt idx="8">
                  <c:v>48918.147538943813</c:v>
                </c:pt>
                <c:pt idx="9">
                  <c:v>42743.092973388288</c:v>
                </c:pt>
                <c:pt idx="10">
                  <c:v>46474.611267303568</c:v>
                </c:pt>
                <c:pt idx="11">
                  <c:v>51105.22377364651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34388.98513413778</c:v>
                </c:pt>
                <c:pt idx="1">
                  <c:v>51271.147534925192</c:v>
                </c:pt>
                <c:pt idx="2">
                  <c:v>62520.546722605744</c:v>
                </c:pt>
                <c:pt idx="3">
                  <c:v>60143.108350535309</c:v>
                </c:pt>
                <c:pt idx="4">
                  <c:v>36728.807642862019</c:v>
                </c:pt>
                <c:pt idx="5">
                  <c:v>35666.607562635028</c:v>
                </c:pt>
                <c:pt idx="6">
                  <c:v>45483.086839141528</c:v>
                </c:pt>
                <c:pt idx="7">
                  <c:v>38394.151337312403</c:v>
                </c:pt>
                <c:pt idx="8">
                  <c:v>33465.570356408309</c:v>
                </c:pt>
                <c:pt idx="9">
                  <c:v>37788.625704959995</c:v>
                </c:pt>
                <c:pt idx="10">
                  <c:v>38198.679609999999</c:v>
                </c:pt>
                <c:pt idx="11">
                  <c:v>30499.309999999998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32344.131501472031</c:v>
                </c:pt>
                <c:pt idx="1">
                  <c:v>34952.523153827286</c:v>
                </c:pt>
                <c:pt idx="2">
                  <c:v>26373.461621311766</c:v>
                </c:pt>
                <c:pt idx="3">
                  <c:v>27217.442921106744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64751.075616798465</c:v>
                </c:pt>
                <c:pt idx="1">
                  <c:v>73519.83179866476</c:v>
                </c:pt>
                <c:pt idx="2">
                  <c:v>76040.988373138374</c:v>
                </c:pt>
                <c:pt idx="3">
                  <c:v>76926.910194416356</c:v>
                </c:pt>
                <c:pt idx="4">
                  <c:v>76349.759816133985</c:v>
                </c:pt>
                <c:pt idx="5">
                  <c:v>67512.435754685692</c:v>
                </c:pt>
                <c:pt idx="6">
                  <c:v>65734.690642641552</c:v>
                </c:pt>
                <c:pt idx="7">
                  <c:v>58167.778942026373</c:v>
                </c:pt>
                <c:pt idx="8">
                  <c:v>61461.682408901805</c:v>
                </c:pt>
                <c:pt idx="9">
                  <c:v>55085.297190463411</c:v>
                </c:pt>
                <c:pt idx="10">
                  <c:v>50779.456284273772</c:v>
                </c:pt>
                <c:pt idx="11">
                  <c:v>47126.567180208949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55687.883252446889</c:v>
                </c:pt>
                <c:pt idx="1">
                  <c:v>53114.325684079638</c:v>
                </c:pt>
                <c:pt idx="2">
                  <c:v>55265.150176991003</c:v>
                </c:pt>
                <c:pt idx="3">
                  <c:v>48855.834098731924</c:v>
                </c:pt>
                <c:pt idx="4">
                  <c:v>48330.130688445206</c:v>
                </c:pt>
                <c:pt idx="5">
                  <c:v>48903.086218147109</c:v>
                </c:pt>
                <c:pt idx="6">
                  <c:v>45403.263545338334</c:v>
                </c:pt>
                <c:pt idx="7">
                  <c:v>46358.700291233734</c:v>
                </c:pt>
                <c:pt idx="8">
                  <c:v>40143.073493452794</c:v>
                </c:pt>
                <c:pt idx="9">
                  <c:v>42267.489372159995</c:v>
                </c:pt>
                <c:pt idx="10">
                  <c:v>39120.80236999999</c:v>
                </c:pt>
                <c:pt idx="11">
                  <c:v>37528.51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39067.095191364089</c:v>
                </c:pt>
                <c:pt idx="1">
                  <c:v>39834.98106292935</c:v>
                </c:pt>
                <c:pt idx="2">
                  <c:v>37122.50361501766</c:v>
                </c:pt>
                <c:pt idx="3">
                  <c:v>36648.557254979649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tipo'!$O$10:$X$10</c:f>
              <c:numCache>
                <c:formatCode>0.0</c:formatCode>
                <c:ptCount val="10"/>
                <c:pt idx="0">
                  <c:v>221.74236299999998</c:v>
                </c:pt>
                <c:pt idx="1">
                  <c:v>197.85871299999999</c:v>
                </c:pt>
                <c:pt idx="2">
                  <c:v>192.41769999999997</c:v>
                </c:pt>
                <c:pt idx="3">
                  <c:v>192.31569999999999</c:v>
                </c:pt>
                <c:pt idx="4">
                  <c:v>219.8742</c:v>
                </c:pt>
                <c:pt idx="5">
                  <c:v>264.41460000000001</c:v>
                </c:pt>
                <c:pt idx="6">
                  <c:v>255.0258</c:v>
                </c:pt>
                <c:pt idx="7">
                  <c:v>253.64300000000003</c:v>
                </c:pt>
                <c:pt idx="8">
                  <c:v>223.86739999999998</c:v>
                </c:pt>
                <c:pt idx="9">
                  <c:v>231.21459999999999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AAbril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tipo'!$O$28:$X$28</c:f>
              <c:numCache>
                <c:formatCode>0.0</c:formatCode>
                <c:ptCount val="10"/>
                <c:pt idx="0">
                  <c:v>735.52055899999993</c:v>
                </c:pt>
                <c:pt idx="1">
                  <c:v>660.01170000000002</c:v>
                </c:pt>
                <c:pt idx="2">
                  <c:v>654.98950000000013</c:v>
                </c:pt>
                <c:pt idx="3">
                  <c:v>616.5972999999999</c:v>
                </c:pt>
                <c:pt idx="4">
                  <c:v>644.06200000000013</c:v>
                </c:pt>
                <c:pt idx="5">
                  <c:v>623.78099999999995</c:v>
                </c:pt>
                <c:pt idx="6">
                  <c:v>550.45420000000013</c:v>
                </c:pt>
                <c:pt idx="7">
                  <c:v>502.86550000000005</c:v>
                </c:pt>
                <c:pt idx="8">
                  <c:v>499.72910000000002</c:v>
                </c:pt>
                <c:pt idx="9">
                  <c:v>513.69030000000009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tipo'!$O$46:$X$46</c:f>
              <c:numCache>
                <c:formatCode>0.0</c:formatCode>
                <c:ptCount val="10"/>
                <c:pt idx="0">
                  <c:v>47.494657000000004</c:v>
                </c:pt>
                <c:pt idx="1">
                  <c:v>43.641752999999994</c:v>
                </c:pt>
                <c:pt idx="2">
                  <c:v>37.970799999999997</c:v>
                </c:pt>
                <c:pt idx="3">
                  <c:v>29.183599999999998</c:v>
                </c:pt>
                <c:pt idx="4">
                  <c:v>29.524699999999999</c:v>
                </c:pt>
                <c:pt idx="5">
                  <c:v>27.7455</c:v>
                </c:pt>
                <c:pt idx="6">
                  <c:v>36.037399999999998</c:v>
                </c:pt>
                <c:pt idx="7">
                  <c:v>38.180000000000007</c:v>
                </c:pt>
                <c:pt idx="8">
                  <c:v>34.949300000000001</c:v>
                </c:pt>
                <c:pt idx="9">
                  <c:v>28.249500000000001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tipo'!$O$64:$X$64</c:f>
              <c:numCache>
                <c:formatCode>#,##0.0</c:formatCode>
                <c:ptCount val="10"/>
                <c:pt idx="0">
                  <c:v>1008.616551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>
                  <c:v>896.96340000000009</c:v>
                </c:pt>
                <c:pt idx="5">
                  <c:v>920.71730000000002</c:v>
                </c:pt>
                <c:pt idx="6">
                  <c:v>846.21069999999997</c:v>
                </c:pt>
                <c:pt idx="7">
                  <c:v>799.32870000000014</c:v>
                </c:pt>
                <c:pt idx="8">
                  <c:v>761.73969999999986</c:v>
                </c:pt>
                <c:pt idx="9">
                  <c:v>775.98898900000006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0.30839600154381008</c:v>
                </c:pt>
                <c:pt idx="8">
                  <c:v>0.29583077074459396</c:v>
                </c:pt>
                <c:pt idx="9">
                  <c:v>0.29543689473579915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4.3880029727765391E-2</c:v>
                </c:pt>
                <c:pt idx="9">
                  <c:v>4.7258418761824801E-2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-7.9821536542021843E-3</c:v>
                </c:pt>
                <c:pt idx="1">
                  <c:v>6.7227417084647634E-4</c:v>
                </c:pt>
                <c:pt idx="2">
                  <c:v>2.0390797380718251E-3</c:v>
                </c:pt>
                <c:pt idx="3">
                  <c:v>6.7442016711172226E-3</c:v>
                </c:pt>
                <c:pt idx="4">
                  <c:v>-4.4138924551710979E-3</c:v>
                </c:pt>
                <c:pt idx="5">
                  <c:v>-3.4313459328475515E-3</c:v>
                </c:pt>
                <c:pt idx="6">
                  <c:v>-4.1268311332867125E-3</c:v>
                </c:pt>
                <c:pt idx="7">
                  <c:v>-1.5205448637111152E-3</c:v>
                </c:pt>
                <c:pt idx="8">
                  <c:v>4.2676432756729721E-3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</c:formatCode>
                <c:ptCount val="9"/>
                <c:pt idx="0">
                  <c:v>2133.0583000000001</c:v>
                </c:pt>
                <c:pt idx="1">
                  <c:v>2134.4922999999999</c:v>
                </c:pt>
                <c:pt idx="2">
                  <c:v>2138.8447000000001</c:v>
                </c:pt>
                <c:pt idx="3">
                  <c:v>2153.2695000000003</c:v>
                </c:pt>
                <c:pt idx="4">
                  <c:v>2143.7652000000003</c:v>
                </c:pt>
                <c:pt idx="5">
                  <c:v>2136.4092000000001</c:v>
                </c:pt>
                <c:pt idx="6">
                  <c:v>2127.5925999999999</c:v>
                </c:pt>
                <c:pt idx="7">
                  <c:v>2124.3575000000001</c:v>
                </c:pt>
                <c:pt idx="8">
                  <c:v>2133.4235000000003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envase'!$O$10:$X$10</c:f>
              <c:numCache>
                <c:formatCode>0.0</c:formatCode>
                <c:ptCount val="10"/>
                <c:pt idx="0">
                  <c:v>35.046933333333335</c:v>
                </c:pt>
                <c:pt idx="1">
                  <c:v>38.073800000000006</c:v>
                </c:pt>
                <c:pt idx="2">
                  <c:v>35.293300000000002</c:v>
                </c:pt>
                <c:pt idx="3">
                  <c:v>32.191100000000006</c:v>
                </c:pt>
                <c:pt idx="4">
                  <c:v>30.895400000000002</c:v>
                </c:pt>
                <c:pt idx="5">
                  <c:v>35.610799999999998</c:v>
                </c:pt>
                <c:pt idx="6">
                  <c:v>31.398099999999999</c:v>
                </c:pt>
                <c:pt idx="7">
                  <c:v>28.365299999999998</c:v>
                </c:pt>
                <c:pt idx="8">
                  <c:v>25.390500000000003</c:v>
                </c:pt>
                <c:pt idx="9">
                  <c:v>22.231399999999997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envase'!$O$28:$X$28</c:f>
              <c:numCache>
                <c:formatCode>0.0</c:formatCode>
                <c:ptCount val="10"/>
                <c:pt idx="0">
                  <c:v>472.74835555555558</c:v>
                </c:pt>
                <c:pt idx="1">
                  <c:v>494.44959999999998</c:v>
                </c:pt>
                <c:pt idx="2">
                  <c:v>491.61899999999997</c:v>
                </c:pt>
                <c:pt idx="3">
                  <c:v>466.01649999999995</c:v>
                </c:pt>
                <c:pt idx="4">
                  <c:v>512.93869999999993</c:v>
                </c:pt>
                <c:pt idx="5">
                  <c:v>566.10230000000001</c:v>
                </c:pt>
                <c:pt idx="6">
                  <c:v>508.89240000000007</c:v>
                </c:pt>
                <c:pt idx="7">
                  <c:v>498.94630000000006</c:v>
                </c:pt>
                <c:pt idx="8">
                  <c:v>474.57120000000003</c:v>
                </c:pt>
                <c:pt idx="9">
                  <c:v>495.86870000000005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envase'!$O$46:$X$46</c:f>
              <c:numCache>
                <c:formatCode>0.0</c:formatCode>
                <c:ptCount val="10"/>
                <c:pt idx="0">
                  <c:v>424.52567777777773</c:v>
                </c:pt>
                <c:pt idx="1">
                  <c:v>369.95531900000003</c:v>
                </c:pt>
                <c:pt idx="2">
                  <c:v>361.57220000000001</c:v>
                </c:pt>
                <c:pt idx="3">
                  <c:v>343.5489</c:v>
                </c:pt>
                <c:pt idx="4">
                  <c:v>351.08580000000006</c:v>
                </c:pt>
                <c:pt idx="5">
                  <c:v>314.8811</c:v>
                </c:pt>
                <c:pt idx="6">
                  <c:v>300.81490000000002</c:v>
                </c:pt>
                <c:pt idx="7">
                  <c:v>266.88830000000002</c:v>
                </c:pt>
                <c:pt idx="8">
                  <c:v>258.18740000000003</c:v>
                </c:pt>
                <c:pt idx="9">
                  <c:v>254.43049999999999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envase'!$O$64:$X$64</c:f>
              <c:numCache>
                <c:formatCode>0.0</c:formatCode>
                <c:ptCount val="10"/>
                <c:pt idx="0">
                  <c:v>1.539833333333398</c:v>
                </c:pt>
                <c:pt idx="1">
                  <c:v>2.3333809999999908</c:v>
                </c:pt>
                <c:pt idx="2">
                  <c:v>1.1769999999999663</c:v>
                </c:pt>
                <c:pt idx="3">
                  <c:v>2.1234999999999973</c:v>
                </c:pt>
                <c:pt idx="4">
                  <c:v>2.0435000000000039</c:v>
                </c:pt>
                <c:pt idx="5">
                  <c:v>4.1231000000000115</c:v>
                </c:pt>
                <c:pt idx="6">
                  <c:v>5.1053000000000068</c:v>
                </c:pt>
                <c:pt idx="7">
                  <c:v>5.1287999999999894</c:v>
                </c:pt>
                <c:pt idx="8">
                  <c:v>3.5905999999999949</c:v>
                </c:pt>
                <c:pt idx="9">
                  <c:v>3.4583890000000159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envase'!$O$82:$X$82</c:f>
              <c:numCache>
                <c:formatCode>#,##0.0</c:formatCode>
                <c:ptCount val="10"/>
                <c:pt idx="0">
                  <c:v>933.86080000000004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>
                  <c:v>896.96340000000009</c:v>
                </c:pt>
                <c:pt idx="5">
                  <c:v>920.71730000000002</c:v>
                </c:pt>
                <c:pt idx="6">
                  <c:v>846.21069999999997</c:v>
                </c:pt>
                <c:pt idx="7">
                  <c:v>799.32870000000014</c:v>
                </c:pt>
                <c:pt idx="8" formatCode="0.0">
                  <c:v>761.73969999999986</c:v>
                </c:pt>
                <c:pt idx="9" formatCode="0.0">
                  <c:v>775.98898900000006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0.46437846945307049</c:v>
                </c:pt>
                <c:pt idx="9">
                  <c:v>0.48399064906265704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0.25202957682767146</c:v>
                </c:pt>
                <c:pt idx="9">
                  <c:v>0.24824617039564897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color'!$O$10:$X$10</c:f>
              <c:numCache>
                <c:formatCode>0.0</c:formatCode>
                <c:ptCount val="10"/>
                <c:pt idx="0">
                  <c:v>173.670582</c:v>
                </c:pt>
                <c:pt idx="1">
                  <c:v>197.85871299999999</c:v>
                </c:pt>
                <c:pt idx="2">
                  <c:v>192.41769999999997</c:v>
                </c:pt>
                <c:pt idx="3">
                  <c:v>192.31569999999999</c:v>
                </c:pt>
                <c:pt idx="4">
                  <c:v>219.8742</c:v>
                </c:pt>
                <c:pt idx="5">
                  <c:v>264.41460000000001</c:v>
                </c:pt>
                <c:pt idx="6">
                  <c:v>255.0258</c:v>
                </c:pt>
                <c:pt idx="7">
                  <c:v>253.64300000000003</c:v>
                </c:pt>
                <c:pt idx="8">
                  <c:v>223.81720000000001</c:v>
                </c:pt>
                <c:pt idx="9">
                  <c:v>231.1139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color'!$O$28:$X$28</c:f>
              <c:numCache>
                <c:formatCode>0.0</c:formatCode>
                <c:ptCount val="10"/>
                <c:pt idx="0">
                  <c:v>31.430753000000003</c:v>
                </c:pt>
                <c:pt idx="1">
                  <c:v>30.603400000000001</c:v>
                </c:pt>
                <c:pt idx="2">
                  <c:v>29.360999999999997</c:v>
                </c:pt>
                <c:pt idx="3">
                  <c:v>33.712400000000002</c:v>
                </c:pt>
                <c:pt idx="4">
                  <c:v>34.615200000000002</c:v>
                </c:pt>
                <c:pt idx="5">
                  <c:v>39.763799999999996</c:v>
                </c:pt>
                <c:pt idx="6">
                  <c:v>39.015999999999998</c:v>
                </c:pt>
                <c:pt idx="7">
                  <c:v>37.245899999999999</c:v>
                </c:pt>
                <c:pt idx="8">
                  <c:v>31.764099999999999</c:v>
                </c:pt>
                <c:pt idx="9">
                  <c:v>37.409499999999994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color'!$O$46:$X$46</c:f>
              <c:numCache>
                <c:formatCode>0.0</c:formatCode>
                <c:ptCount val="10"/>
                <c:pt idx="0">
                  <c:v>43.811033000000009</c:v>
                </c:pt>
                <c:pt idx="1">
                  <c:v>42.0017</c:v>
                </c:pt>
                <c:pt idx="2">
                  <c:v>37.236199999999997</c:v>
                </c:pt>
                <c:pt idx="3">
                  <c:v>28.2057</c:v>
                </c:pt>
                <c:pt idx="4">
                  <c:v>27.9818</c:v>
                </c:pt>
                <c:pt idx="5">
                  <c:v>26.947400000000002</c:v>
                </c:pt>
                <c:pt idx="6">
                  <c:v>32.9664</c:v>
                </c:pt>
                <c:pt idx="7">
                  <c:v>34.1646</c:v>
                </c:pt>
                <c:pt idx="8">
                  <c:v>30.083899999999996</c:v>
                </c:pt>
                <c:pt idx="9">
                  <c:v>24.561299999999999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color'!$O$64:$X$64</c:f>
              <c:numCache>
                <c:formatCode>0.0</c:formatCode>
                <c:ptCount val="10"/>
                <c:pt idx="0">
                  <c:v>239.68351899999999</c:v>
                </c:pt>
                <c:pt idx="1">
                  <c:v>229.52229999999997</c:v>
                </c:pt>
                <c:pt idx="2">
                  <c:v>235.52080000000001</c:v>
                </c:pt>
                <c:pt idx="3">
                  <c:v>202.87549999999999</c:v>
                </c:pt>
                <c:pt idx="4">
                  <c:v>205.42309999999998</c:v>
                </c:pt>
                <c:pt idx="5">
                  <c:v>213.66640000000001</c:v>
                </c:pt>
                <c:pt idx="6">
                  <c:v>228.57839999999999</c:v>
                </c:pt>
                <c:pt idx="7">
                  <c:v>219.94499999999999</c:v>
                </c:pt>
                <c:pt idx="8">
                  <c:v>209.78580000000002</c:v>
                </c:pt>
                <c:pt idx="9">
                  <c:v>196.69929999999999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color'!$O$82:$X$82</c:f>
              <c:numCache>
                <c:formatCode>0.0</c:formatCode>
                <c:ptCount val="10"/>
                <c:pt idx="0">
                  <c:v>599.21755800000005</c:v>
                </c:pt>
                <c:pt idx="1">
                  <c:v>503.07210000000003</c:v>
                </c:pt>
                <c:pt idx="2">
                  <c:v>486.02870000000001</c:v>
                </c:pt>
                <c:pt idx="3">
                  <c:v>475.40840000000003</c:v>
                </c:pt>
                <c:pt idx="4">
                  <c:v>501.23549999999994</c:v>
                </c:pt>
                <c:pt idx="5">
                  <c:v>476.82579999999996</c:v>
                </c:pt>
                <c:pt idx="6">
                  <c:v>393.85809999999998</c:v>
                </c:pt>
                <c:pt idx="7">
                  <c:v>354.16750000000002</c:v>
                </c:pt>
                <c:pt idx="8">
                  <c:v>351.77639999999997</c:v>
                </c:pt>
                <c:pt idx="9">
                  <c:v>378.71639999999996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color'!$O$100:$X$100</c:f>
              <c:numCache>
                <c:formatCode>0.0</c:formatCode>
                <c:ptCount val="10"/>
                <c:pt idx="0">
                  <c:v>173.670582</c:v>
                </c:pt>
                <c:pt idx="1">
                  <c:v>167.27019999999999</c:v>
                </c:pt>
                <c:pt idx="2">
                  <c:v>163.05689999999998</c:v>
                </c:pt>
                <c:pt idx="3">
                  <c:v>158.60309999999998</c:v>
                </c:pt>
                <c:pt idx="4">
                  <c:v>185.25900000000001</c:v>
                </c:pt>
                <c:pt idx="5">
                  <c:v>224.6507</c:v>
                </c:pt>
                <c:pt idx="6">
                  <c:v>216.00990000000002</c:v>
                </c:pt>
                <c:pt idx="7">
                  <c:v>216.37559999999999</c:v>
                </c:pt>
                <c:pt idx="8">
                  <c:v>192.16899999999998</c:v>
                </c:pt>
                <c:pt idx="9">
                  <c:v>193.7405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color'!$O$118:$X$118</c:f>
              <c:numCache>
                <c:formatCode>0.0</c:formatCode>
                <c:ptCount val="10"/>
                <c:pt idx="0">
                  <c:v>3.8584580000000002</c:v>
                </c:pt>
                <c:pt idx="1">
                  <c:v>3.7492999999999999</c:v>
                </c:pt>
                <c:pt idx="2">
                  <c:v>4.1139000000000001</c:v>
                </c:pt>
                <c:pt idx="3">
                  <c:v>4.0587999999999997</c:v>
                </c:pt>
                <c:pt idx="4">
                  <c:v>4.4815000000000005</c:v>
                </c:pt>
                <c:pt idx="5">
                  <c:v>5.2222999999999997</c:v>
                </c:pt>
                <c:pt idx="6">
                  <c:v>6.9620999999999995</c:v>
                </c:pt>
                <c:pt idx="7">
                  <c:v>7.4014000000000006</c:v>
                </c:pt>
                <c:pt idx="8">
                  <c:v>6.6727000000000007</c:v>
                </c:pt>
                <c:pt idx="9">
                  <c:v>5.9754999999999994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color'!$O$136:$X$136</c:f>
              <c:numCache>
                <c:formatCode>0.0</c:formatCode>
                <c:ptCount val="10"/>
                <c:pt idx="0">
                  <c:v>776.74659800000006</c:v>
                </c:pt>
                <c:pt idx="1">
                  <c:v>674.09159999999997</c:v>
                </c:pt>
                <c:pt idx="2">
                  <c:v>653.19950000000006</c:v>
                </c:pt>
                <c:pt idx="3">
                  <c:v>638.07029999999997</c:v>
                </c:pt>
                <c:pt idx="4">
                  <c:v>690.976</c:v>
                </c:pt>
                <c:pt idx="5">
                  <c:v>706.69879999999989</c:v>
                </c:pt>
                <c:pt idx="6">
                  <c:v>616.83010000000002</c:v>
                </c:pt>
                <c:pt idx="7">
                  <c:v>577.94450000000006</c:v>
                </c:pt>
                <c:pt idx="8">
                  <c:v>550.61809999999991</c:v>
                </c:pt>
                <c:pt idx="9">
                  <c:v>578.43240000000003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color'!$O$154:$X$154</c:f>
              <c:numCache>
                <c:formatCode>#,##0.0</c:formatCode>
                <c:ptCount val="10"/>
                <c:pt idx="0">
                  <c:v>1016.4301170000001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 formatCode="0.0">
                  <c:v>896.96340000000009</c:v>
                </c:pt>
                <c:pt idx="5" formatCode="0.0">
                  <c:v>920.71730000000002</c:v>
                </c:pt>
                <c:pt idx="6" formatCode="0.0">
                  <c:v>846.21069999999997</c:v>
                </c:pt>
                <c:pt idx="7" formatCode="0.0">
                  <c:v>799.32870000000014</c:v>
                </c:pt>
                <c:pt idx="8" formatCode="0.0">
                  <c:v>761.73969999999986</c:v>
                </c:pt>
                <c:pt idx="9" formatCode="0.0">
                  <c:v>775.98898900000006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571.81048899999996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761.74768900000004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tipo'!$O$10:$X$10</c:f>
              <c:numCache>
                <c:formatCode>0.0</c:formatCode>
                <c:ptCount val="10"/>
                <c:pt idx="0">
                  <c:v>34.343713999999999</c:v>
                </c:pt>
                <c:pt idx="1">
                  <c:v>34.815155000000004</c:v>
                </c:pt>
                <c:pt idx="2">
                  <c:v>27.603200000000001</c:v>
                </c:pt>
                <c:pt idx="3">
                  <c:v>95.467399999999984</c:v>
                </c:pt>
                <c:pt idx="4">
                  <c:v>142.45920000000001</c:v>
                </c:pt>
                <c:pt idx="5">
                  <c:v>92.659900000000007</c:v>
                </c:pt>
                <c:pt idx="6">
                  <c:v>55.756700000000002</c:v>
                </c:pt>
                <c:pt idx="7">
                  <c:v>26.323400000000003</c:v>
                </c:pt>
                <c:pt idx="8">
                  <c:v>18.6343</c:v>
                </c:pt>
                <c:pt idx="9">
                  <c:v>22.223700000000001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tipo'!$O$28:$X$28</c:f>
              <c:numCache>
                <c:formatCode>0.0</c:formatCode>
                <c:ptCount val="10"/>
                <c:pt idx="0">
                  <c:v>215.811271</c:v>
                </c:pt>
                <c:pt idx="1">
                  <c:v>207.111988</c:v>
                </c:pt>
                <c:pt idx="2">
                  <c:v>190.23070000000001</c:v>
                </c:pt>
                <c:pt idx="3">
                  <c:v>201.12279999999998</c:v>
                </c:pt>
                <c:pt idx="4">
                  <c:v>219.9211</c:v>
                </c:pt>
                <c:pt idx="5">
                  <c:v>265.22429999999997</c:v>
                </c:pt>
                <c:pt idx="6">
                  <c:v>255.30599999999998</c:v>
                </c:pt>
                <c:pt idx="7">
                  <c:v>207.16219999999996</c:v>
                </c:pt>
                <c:pt idx="8">
                  <c:v>177.76429999999999</c:v>
                </c:pt>
                <c:pt idx="9">
                  <c:v>178.17830000000001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tipo'!$O$46:$X$46</c:f>
              <c:numCache>
                <c:formatCode>0.0</c:formatCode>
                <c:ptCount val="10"/>
                <c:pt idx="0">
                  <c:v>3.3106680000000002</c:v>
                </c:pt>
                <c:pt idx="1">
                  <c:v>3.2375179999999997</c:v>
                </c:pt>
                <c:pt idx="2">
                  <c:v>3.3452000000000006</c:v>
                </c:pt>
                <c:pt idx="3">
                  <c:v>3.3603999999999994</c:v>
                </c:pt>
                <c:pt idx="4">
                  <c:v>3.3224</c:v>
                </c:pt>
                <c:pt idx="5">
                  <c:v>3.0156999999999998</c:v>
                </c:pt>
                <c:pt idx="6">
                  <c:v>4.8224999999999998</c:v>
                </c:pt>
                <c:pt idx="7">
                  <c:v>5.8988999999999994</c:v>
                </c:pt>
                <c:pt idx="8">
                  <c:v>4.4527000000000001</c:v>
                </c:pt>
                <c:pt idx="9">
                  <c:v>5.0259999999999998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tipo'!$O$64:$X$64</c:f>
              <c:numCache>
                <c:formatCode>0.0</c:formatCode>
                <c:ptCount val="10"/>
                <c:pt idx="0">
                  <c:v>253.63420299999999</c:v>
                </c:pt>
                <c:pt idx="1">
                  <c:v>245.31125700000001</c:v>
                </c:pt>
                <c:pt idx="2">
                  <c:v>221.22529999999998</c:v>
                </c:pt>
                <c:pt idx="3">
                  <c:v>300.11070000000001</c:v>
                </c:pt>
                <c:pt idx="4">
                  <c:v>365.7414</c:v>
                </c:pt>
                <c:pt idx="5">
                  <c:v>360.92700000000002</c:v>
                </c:pt>
                <c:pt idx="6">
                  <c:v>315.93889999999999</c:v>
                </c:pt>
                <c:pt idx="7">
                  <c:v>239.41719999999998</c:v>
                </c:pt>
                <c:pt idx="8">
                  <c:v>201.11470000000003</c:v>
                </c:pt>
                <c:pt idx="9">
                  <c:v>205.44740000000002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envase'!$O$10:$X$10</c:f>
              <c:numCache>
                <c:formatCode>0.0</c:formatCode>
                <c:ptCount val="10"/>
                <c:pt idx="0">
                  <c:v>197.26620199999999</c:v>
                </c:pt>
                <c:pt idx="1">
                  <c:v>201.18985700000002</c:v>
                </c:pt>
                <c:pt idx="2">
                  <c:v>189.6986</c:v>
                </c:pt>
                <c:pt idx="3">
                  <c:v>190.4248</c:v>
                </c:pt>
                <c:pt idx="4">
                  <c:v>191.10929999999996</c:v>
                </c:pt>
                <c:pt idx="5">
                  <c:v>209.57620000000003</c:v>
                </c:pt>
                <c:pt idx="6">
                  <c:v>215.30579999999998</c:v>
                </c:pt>
                <c:pt idx="7">
                  <c:v>185.05009999999999</c:v>
                </c:pt>
                <c:pt idx="8">
                  <c:v>148.89570000000001</c:v>
                </c:pt>
                <c:pt idx="9">
                  <c:v>154.42869999999999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envase'!$O$28:$X$28</c:f>
              <c:numCache>
                <c:formatCode>0.0</c:formatCode>
                <c:ptCount val="10"/>
                <c:pt idx="0">
                  <c:v>56.367938000000002</c:v>
                </c:pt>
                <c:pt idx="1">
                  <c:v>44.121337999999994</c:v>
                </c:pt>
                <c:pt idx="2">
                  <c:v>31.526899999999998</c:v>
                </c:pt>
                <c:pt idx="3">
                  <c:v>109.5654</c:v>
                </c:pt>
                <c:pt idx="4">
                  <c:v>174.63549999999998</c:v>
                </c:pt>
                <c:pt idx="5">
                  <c:v>151.34570000000002</c:v>
                </c:pt>
                <c:pt idx="6">
                  <c:v>100.2556</c:v>
                </c:pt>
                <c:pt idx="7">
                  <c:v>56.852600000000002</c:v>
                </c:pt>
                <c:pt idx="8">
                  <c:v>46.32</c:v>
                </c:pt>
                <c:pt idx="9">
                  <c:v>51.018699999999995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envase'!$O$46:$X$46</c:f>
              <c:numCache>
                <c:formatCode>0.0</c:formatCode>
                <c:ptCount val="10"/>
                <c:pt idx="0">
                  <c:v>253.63414</c:v>
                </c:pt>
                <c:pt idx="1">
                  <c:v>245.311195</c:v>
                </c:pt>
                <c:pt idx="2">
                  <c:v>221.22549999999998</c:v>
                </c:pt>
                <c:pt idx="3">
                  <c:v>299.99019999999996</c:v>
                </c:pt>
                <c:pt idx="4">
                  <c:v>365.7448</c:v>
                </c:pt>
                <c:pt idx="5">
                  <c:v>360.92189999999999</c:v>
                </c:pt>
                <c:pt idx="6">
                  <c:v>315.56140000000005</c:v>
                </c:pt>
                <c:pt idx="7">
                  <c:v>241.90269999999998</c:v>
                </c:pt>
                <c:pt idx="8">
                  <c:v>195.21569999999997</c:v>
                </c:pt>
                <c:pt idx="9">
                  <c:v>205.44740000000002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envase'!$O$63:$X$63</c:f>
              <c:numCache>
                <c:formatCode>0.0</c:formatCode>
                <c:ptCount val="10"/>
                <c:pt idx="0">
                  <c:v>748.47762</c:v>
                </c:pt>
                <c:pt idx="1">
                  <c:v>759.75271999999995</c:v>
                </c:pt>
                <c:pt idx="2">
                  <c:v>764.98299999999995</c:v>
                </c:pt>
                <c:pt idx="3">
                  <c:v>759.01700000000005</c:v>
                </c:pt>
                <c:pt idx="4">
                  <c:v>717.09999999999991</c:v>
                </c:pt>
                <c:pt idx="5">
                  <c:v>734.40899999999999</c:v>
                </c:pt>
                <c:pt idx="6">
                  <c:v>815.39199999999994</c:v>
                </c:pt>
                <c:pt idx="7">
                  <c:v>733.93100000000004</c:v>
                </c:pt>
                <c:pt idx="8">
                  <c:v>631.46199999999999</c:v>
                </c:pt>
                <c:pt idx="9">
                  <c:v>606.53200000000004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envase'!$O$81:$X$81</c:f>
              <c:numCache>
                <c:formatCode>0.0</c:formatCode>
                <c:ptCount val="10"/>
                <c:pt idx="0">
                  <c:v>53.518909999999998</c:v>
                </c:pt>
                <c:pt idx="1">
                  <c:v>51.694710000000001</c:v>
                </c:pt>
                <c:pt idx="2">
                  <c:v>46.423000000000002</c:v>
                </c:pt>
                <c:pt idx="3">
                  <c:v>72.27000000000001</c:v>
                </c:pt>
                <c:pt idx="4">
                  <c:v>75.545999999999992</c:v>
                </c:pt>
                <c:pt idx="5">
                  <c:v>82.766999999999996</c:v>
                </c:pt>
                <c:pt idx="6">
                  <c:v>70.272999999999996</c:v>
                </c:pt>
                <c:pt idx="7">
                  <c:v>51.875</c:v>
                </c:pt>
                <c:pt idx="8">
                  <c:v>46.989000000000004</c:v>
                </c:pt>
                <c:pt idx="9">
                  <c:v>46.961999999999996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envase'!$O$99:$X$99</c:f>
              <c:numCache>
                <c:formatCode>0.0</c:formatCode>
                <c:ptCount val="10"/>
                <c:pt idx="0">
                  <c:v>801.99652999999989</c:v>
                </c:pt>
                <c:pt idx="1">
                  <c:v>811.44742999999994</c:v>
                </c:pt>
                <c:pt idx="2">
                  <c:v>811.40599999999995</c:v>
                </c:pt>
                <c:pt idx="3">
                  <c:v>831.28700000000003</c:v>
                </c:pt>
                <c:pt idx="4">
                  <c:v>792.64600000000019</c:v>
                </c:pt>
                <c:pt idx="5">
                  <c:v>817.17599999999993</c:v>
                </c:pt>
                <c:pt idx="6">
                  <c:v>885.66499999999996</c:v>
                </c:pt>
                <c:pt idx="7">
                  <c:v>785.80599999999993</c:v>
                </c:pt>
                <c:pt idx="8">
                  <c:v>678.45099999999991</c:v>
                </c:pt>
                <c:pt idx="9">
                  <c:v>653.49400000000003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envase'!$O$116:$X$116</c:f>
              <c:numCache>
                <c:formatCode>0.00</c:formatCode>
                <c:ptCount val="10"/>
                <c:pt idx="0">
                  <c:v>3.7942516883860318</c:v>
                </c:pt>
                <c:pt idx="1">
                  <c:v>3.7762973309335366</c:v>
                </c:pt>
                <c:pt idx="2">
                  <c:v>4.0326233298506153</c:v>
                </c:pt>
                <c:pt idx="3">
                  <c:v>3.9859146497725089</c:v>
                </c:pt>
                <c:pt idx="4">
                  <c:v>3.7523030014761187</c:v>
                </c:pt>
                <c:pt idx="5">
                  <c:v>3.5042576399419394</c:v>
                </c:pt>
                <c:pt idx="6">
                  <c:v>3.7871343921064833</c:v>
                </c:pt>
                <c:pt idx="7">
                  <c:v>3.9661205262790999</c:v>
                </c:pt>
                <c:pt idx="8">
                  <c:v>4.2409686780746521</c:v>
                </c:pt>
                <c:pt idx="9">
                  <c:v>3.9275859992345987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envase'!$O$134:$X$134</c:f>
              <c:numCache>
                <c:formatCode>0.00</c:formatCode>
                <c:ptCount val="10"/>
                <c:pt idx="0">
                  <c:v>0.94945658647296971</c:v>
                </c:pt>
                <c:pt idx="1">
                  <c:v>1.1716487383043552</c:v>
                </c:pt>
                <c:pt idx="2">
                  <c:v>1.4724885732501454</c:v>
                </c:pt>
                <c:pt idx="3">
                  <c:v>0.65960604351373708</c:v>
                </c:pt>
                <c:pt idx="4">
                  <c:v>0.43259245686014586</c:v>
                </c:pt>
                <c:pt idx="5">
                  <c:v>0.54687381273468616</c:v>
                </c:pt>
                <c:pt idx="6">
                  <c:v>0.70093840144590425</c:v>
                </c:pt>
                <c:pt idx="7">
                  <c:v>0.91244727593812769</c:v>
                </c:pt>
                <c:pt idx="8">
                  <c:v>1.0144430051813473</c:v>
                </c:pt>
                <c:pt idx="9">
                  <c:v>0.92048601787187834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envase'!$O$152:$X$152</c:f>
              <c:numCache>
                <c:formatCode>0.00</c:formatCode>
                <c:ptCount val="10"/>
                <c:pt idx="0">
                  <c:v>3.1620212089744695</c:v>
                </c:pt>
                <c:pt idx="1">
                  <c:v>3.3078287764241656</c:v>
                </c:pt>
                <c:pt idx="2">
                  <c:v>3.6677779008296962</c:v>
                </c:pt>
                <c:pt idx="3">
                  <c:v>2.7710471875414604</c:v>
                </c:pt>
                <c:pt idx="4">
                  <c:v>2.1672105796172638</c:v>
                </c:pt>
                <c:pt idx="5">
                  <c:v>2.2641352602876132</c:v>
                </c:pt>
                <c:pt idx="6">
                  <c:v>2.8066328771516411</c:v>
                </c:pt>
                <c:pt idx="7">
                  <c:v>3.2484383183817296</c:v>
                </c:pt>
                <c:pt idx="8">
                  <c:v>3.4753915796731514</c:v>
                </c:pt>
                <c:pt idx="9">
                  <c:v>3.1808336343025028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varietal'!$O$9:$X$9</c:f>
              <c:numCache>
                <c:formatCode>0.0</c:formatCode>
                <c:ptCount val="10"/>
                <c:pt idx="0">
                  <c:v>124.856517</c:v>
                </c:pt>
                <c:pt idx="1">
                  <c:v>125.942747</c:v>
                </c:pt>
                <c:pt idx="2">
                  <c:v>117.66030000000001</c:v>
                </c:pt>
                <c:pt idx="3">
                  <c:v>120.5227</c:v>
                </c:pt>
                <c:pt idx="4">
                  <c:v>128.08629999999999</c:v>
                </c:pt>
                <c:pt idx="5">
                  <c:v>157.45269999999999</c:v>
                </c:pt>
                <c:pt idx="6">
                  <c:v>161.28494000000001</c:v>
                </c:pt>
                <c:pt idx="7">
                  <c:v>141.83495600000001</c:v>
                </c:pt>
                <c:pt idx="8">
                  <c:v>122.54119999999999</c:v>
                </c:pt>
                <c:pt idx="9">
                  <c:v>125.9986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varietal'!$O$27:$X$27</c:f>
              <c:numCache>
                <c:formatCode>0.0</c:formatCode>
                <c:ptCount val="10"/>
                <c:pt idx="0">
                  <c:v>23.880966999999998</c:v>
                </c:pt>
                <c:pt idx="1">
                  <c:v>19.621102</c:v>
                </c:pt>
                <c:pt idx="2">
                  <c:v>17.839599999999997</c:v>
                </c:pt>
                <c:pt idx="3">
                  <c:v>17.480699999999999</c:v>
                </c:pt>
                <c:pt idx="4">
                  <c:v>18.761199999999999</c:v>
                </c:pt>
                <c:pt idx="5">
                  <c:v>23.9373</c:v>
                </c:pt>
                <c:pt idx="6">
                  <c:v>22.203429999999997</c:v>
                </c:pt>
                <c:pt idx="7">
                  <c:v>20.608453000000001</c:v>
                </c:pt>
                <c:pt idx="8">
                  <c:v>15.698499999999999</c:v>
                </c:pt>
                <c:pt idx="9">
                  <c:v>16.362400000000001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varietal'!$O$45:$X$45</c:f>
              <c:numCache>
                <c:formatCode>0.0</c:formatCode>
                <c:ptCount val="10"/>
                <c:pt idx="0">
                  <c:v>2.4010559999999996</c:v>
                </c:pt>
                <c:pt idx="1">
                  <c:v>2.5460250000000002</c:v>
                </c:pt>
                <c:pt idx="2">
                  <c:v>1.9967000000000001</c:v>
                </c:pt>
                <c:pt idx="3">
                  <c:v>6.6563999999999997</c:v>
                </c:pt>
                <c:pt idx="4">
                  <c:v>14.879199999999999</c:v>
                </c:pt>
                <c:pt idx="5">
                  <c:v>7.1509999999999998</c:v>
                </c:pt>
                <c:pt idx="6">
                  <c:v>4.7885899999999992</c:v>
                </c:pt>
                <c:pt idx="7">
                  <c:v>2.7719010000000002</c:v>
                </c:pt>
                <c:pt idx="8">
                  <c:v>1.7323999999999999</c:v>
                </c:pt>
                <c:pt idx="9">
                  <c:v>1.5297000000000001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Marzo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varietal'!$O$63:$X$63</c:f>
              <c:numCache>
                <c:formatCode>0.0</c:formatCode>
                <c:ptCount val="10"/>
                <c:pt idx="0">
                  <c:v>4.612108000000001</c:v>
                </c:pt>
                <c:pt idx="1">
                  <c:v>3.9852229999999995</c:v>
                </c:pt>
                <c:pt idx="2">
                  <c:v>3.3065809999999995</c:v>
                </c:pt>
                <c:pt idx="3">
                  <c:v>4.6100000000000003</c:v>
                </c:pt>
                <c:pt idx="4">
                  <c:v>6.7017000000000007</c:v>
                </c:pt>
                <c:pt idx="5">
                  <c:v>8.4060999999999986</c:v>
                </c:pt>
                <c:pt idx="6">
                  <c:v>4.5834699999999993</c:v>
                </c:pt>
                <c:pt idx="7">
                  <c:v>2.0148509999999997</c:v>
                </c:pt>
                <c:pt idx="8">
                  <c:v>1.3985000000000001</c:v>
                </c:pt>
                <c:pt idx="9">
                  <c:v>1.599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13" Type="http://schemas.openxmlformats.org/officeDocument/2006/relationships/chart" Target="../charts/chart90.xml"/><Relationship Id="rId18" Type="http://schemas.openxmlformats.org/officeDocument/2006/relationships/chart" Target="../charts/chart9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12" Type="http://schemas.openxmlformats.org/officeDocument/2006/relationships/chart" Target="../charts/chart89.xml"/><Relationship Id="rId17" Type="http://schemas.openxmlformats.org/officeDocument/2006/relationships/chart" Target="../charts/chart94.xml"/><Relationship Id="rId2" Type="http://schemas.openxmlformats.org/officeDocument/2006/relationships/chart" Target="../charts/chart79.xml"/><Relationship Id="rId16" Type="http://schemas.openxmlformats.org/officeDocument/2006/relationships/chart" Target="../charts/chart93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5" Type="http://schemas.openxmlformats.org/officeDocument/2006/relationships/chart" Target="../charts/chart9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Relationship Id="rId14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26" Type="http://schemas.openxmlformats.org/officeDocument/2006/relationships/chart" Target="../charts/chart121.xml"/><Relationship Id="rId3" Type="http://schemas.openxmlformats.org/officeDocument/2006/relationships/chart" Target="../charts/chart98.xml"/><Relationship Id="rId21" Type="http://schemas.openxmlformats.org/officeDocument/2006/relationships/chart" Target="../charts/chart116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5" Type="http://schemas.openxmlformats.org/officeDocument/2006/relationships/chart" Target="../charts/chart120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20" Type="http://schemas.openxmlformats.org/officeDocument/2006/relationships/chart" Target="../charts/chart115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24" Type="http://schemas.openxmlformats.org/officeDocument/2006/relationships/chart" Target="../charts/chart119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23" Type="http://schemas.openxmlformats.org/officeDocument/2006/relationships/chart" Target="../charts/chart118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Relationship Id="rId22" Type="http://schemas.openxmlformats.org/officeDocument/2006/relationships/chart" Target="../charts/chart117.xml"/><Relationship Id="rId27" Type="http://schemas.openxmlformats.org/officeDocument/2006/relationships/chart" Target="../charts/chart12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13" Type="http://schemas.openxmlformats.org/officeDocument/2006/relationships/chart" Target="../charts/chart135.xml"/><Relationship Id="rId18" Type="http://schemas.openxmlformats.org/officeDocument/2006/relationships/chart" Target="../charts/chart140.xml"/><Relationship Id="rId26" Type="http://schemas.openxmlformats.org/officeDocument/2006/relationships/chart" Target="../charts/chart148.xml"/><Relationship Id="rId3" Type="http://schemas.openxmlformats.org/officeDocument/2006/relationships/chart" Target="../charts/chart125.xml"/><Relationship Id="rId21" Type="http://schemas.openxmlformats.org/officeDocument/2006/relationships/chart" Target="../charts/chart143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17" Type="http://schemas.openxmlformats.org/officeDocument/2006/relationships/chart" Target="../charts/chart139.xml"/><Relationship Id="rId25" Type="http://schemas.openxmlformats.org/officeDocument/2006/relationships/chart" Target="../charts/chart147.xml"/><Relationship Id="rId2" Type="http://schemas.openxmlformats.org/officeDocument/2006/relationships/chart" Target="../charts/chart124.xml"/><Relationship Id="rId16" Type="http://schemas.openxmlformats.org/officeDocument/2006/relationships/chart" Target="../charts/chart138.xml"/><Relationship Id="rId20" Type="http://schemas.openxmlformats.org/officeDocument/2006/relationships/chart" Target="../charts/chart142.xml"/><Relationship Id="rId29" Type="http://schemas.openxmlformats.org/officeDocument/2006/relationships/chart" Target="../charts/chart151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24" Type="http://schemas.openxmlformats.org/officeDocument/2006/relationships/chart" Target="../charts/chart146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23" Type="http://schemas.openxmlformats.org/officeDocument/2006/relationships/chart" Target="../charts/chart145.xml"/><Relationship Id="rId28" Type="http://schemas.openxmlformats.org/officeDocument/2006/relationships/chart" Target="../charts/chart150.xml"/><Relationship Id="rId10" Type="http://schemas.openxmlformats.org/officeDocument/2006/relationships/chart" Target="../charts/chart132.xml"/><Relationship Id="rId19" Type="http://schemas.openxmlformats.org/officeDocument/2006/relationships/chart" Target="../charts/chart141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Relationship Id="rId22" Type="http://schemas.openxmlformats.org/officeDocument/2006/relationships/chart" Target="../charts/chart144.xml"/><Relationship Id="rId27" Type="http://schemas.openxmlformats.org/officeDocument/2006/relationships/chart" Target="../charts/chart149.xml"/><Relationship Id="rId30" Type="http://schemas.openxmlformats.org/officeDocument/2006/relationships/chart" Target="../charts/chart15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9525</xdr:colOff>
      <xdr:row>76</xdr:row>
      <xdr:rowOff>195262</xdr:rowOff>
    </xdr:from>
    <xdr:to>
      <xdr:col>26</xdr:col>
      <xdr:colOff>180975</xdr:colOff>
      <xdr:row>90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26</xdr:col>
      <xdr:colOff>171450</xdr:colOff>
      <xdr:row>105</xdr:row>
      <xdr:rowOff>95250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26</xdr:col>
      <xdr:colOff>171450</xdr:colOff>
      <xdr:row>120</xdr:row>
      <xdr:rowOff>95250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121</xdr:row>
      <xdr:rowOff>171450</xdr:rowOff>
    </xdr:from>
    <xdr:to>
      <xdr:col>26</xdr:col>
      <xdr:colOff>161925</xdr:colOff>
      <xdr:row>135</xdr:row>
      <xdr:rowOff>66675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22</xdr:row>
      <xdr:rowOff>0</xdr:rowOff>
    </xdr:from>
    <xdr:to>
      <xdr:col>32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/Carpeta%20en%20Red/Estadistica/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E327"/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E328"/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263082</v>
          </cell>
          <cell r="C417">
            <v>389524</v>
          </cell>
          <cell r="F417">
            <v>15190</v>
          </cell>
          <cell r="H417">
            <v>669091</v>
          </cell>
        </row>
        <row r="418">
          <cell r="B418">
            <v>159318</v>
          </cell>
          <cell r="C418">
            <v>409186</v>
          </cell>
          <cell r="F418">
            <v>13752</v>
          </cell>
          <cell r="H418">
            <v>584506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149234</v>
          </cell>
          <cell r="C416">
            <v>35039</v>
          </cell>
          <cell r="D416">
            <v>184273</v>
          </cell>
          <cell r="E416">
            <v>60970</v>
          </cell>
          <cell r="F416">
            <v>3688</v>
          </cell>
          <cell r="G416">
            <v>64658</v>
          </cell>
        </row>
        <row r="417">
          <cell r="B417">
            <v>99525</v>
          </cell>
          <cell r="C417">
            <v>24940</v>
          </cell>
          <cell r="D417">
            <v>124465</v>
          </cell>
          <cell r="E417">
            <v>45591</v>
          </cell>
          <cell r="F417">
            <v>2337</v>
          </cell>
          <cell r="G417">
            <v>47928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G428"/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21539</v>
          </cell>
          <cell r="C281">
            <v>6367</v>
          </cell>
          <cell r="D281">
            <v>3811</v>
          </cell>
          <cell r="E281">
            <v>6751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58110</v>
          </cell>
          <cell r="AA281">
            <v>3588409</v>
          </cell>
          <cell r="AB281">
            <v>832049</v>
          </cell>
          <cell r="AC281">
            <v>1828027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15940182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33869.149434629369</v>
          </cell>
          <cell r="W426">
            <v>27910.891668512919</v>
          </cell>
          <cell r="X426">
            <v>22867.596595846586</v>
          </cell>
          <cell r="Y426">
            <v>28843.972435100659</v>
          </cell>
          <cell r="Z426">
            <v>36338.383973671545</v>
          </cell>
          <cell r="AA426">
            <v>25882.961625180062</v>
          </cell>
          <cell r="AB426">
            <v>29368.10240801056</v>
          </cell>
          <cell r="AC426">
            <v>33660.791593546674</v>
          </cell>
        </row>
        <row r="427">
          <cell r="V427">
            <v>33100.262412163254</v>
          </cell>
          <cell r="W427">
            <v>19169.942760740192</v>
          </cell>
          <cell r="X427">
            <v>23860.907570709489</v>
          </cell>
          <cell r="Y427">
            <v>29607.180339285173</v>
          </cell>
          <cell r="Z427">
            <v>36424.036935590622</v>
          </cell>
          <cell r="AA427">
            <v>23108.571016383343</v>
          </cell>
          <cell r="AB427">
            <v>26676.759445784683</v>
          </cell>
          <cell r="AC427">
            <v>33387.957947320123</v>
          </cell>
        </row>
        <row r="428">
          <cell r="V428">
            <v>32973.745053243132</v>
          </cell>
          <cell r="W428">
            <v>24441.807173838199</v>
          </cell>
          <cell r="X428">
            <v>21809.229926979104</v>
          </cell>
          <cell r="Y428">
            <v>28202.276514651563</v>
          </cell>
          <cell r="Z428">
            <v>38297.345995049356</v>
          </cell>
          <cell r="AA428">
            <v>21403.835414708883</v>
          </cell>
          <cell r="AB428">
            <v>25367.002011657361</v>
          </cell>
          <cell r="AC428">
            <v>35989.333066296174</v>
          </cell>
        </row>
        <row r="429">
          <cell r="V429">
            <v>32964.112847620861</v>
          </cell>
          <cell r="W429">
            <v>25436.931958592253</v>
          </cell>
          <cell r="X429">
            <v>20971.964468252019</v>
          </cell>
          <cell r="Y429">
            <v>29272.910840620254</v>
          </cell>
          <cell r="Z429">
            <v>34899.743168365094</v>
          </cell>
          <cell r="AA429">
            <v>25267.822835661111</v>
          </cell>
          <cell r="AB429">
            <v>22646.023124030809</v>
          </cell>
          <cell r="AC429">
            <v>30861.806628735871</v>
          </cell>
        </row>
        <row r="430">
          <cell r="V430">
            <v>32983.495462256709</v>
          </cell>
          <cell r="W430">
            <v>18657.876404624087</v>
          </cell>
          <cell r="X430">
            <v>20997.463428532748</v>
          </cell>
          <cell r="Y430">
            <v>29247.838808380995</v>
          </cell>
          <cell r="Z430">
            <v>38579.778020215752</v>
          </cell>
          <cell r="AA430">
            <v>33267.991165010098</v>
          </cell>
          <cell r="AB430">
            <v>28992.152797045674</v>
          </cell>
          <cell r="AC430">
            <v>36801.979978959353</v>
          </cell>
        </row>
        <row r="431">
          <cell r="V431">
            <v>32605.148053648554</v>
          </cell>
          <cell r="W431">
            <v>25170.289643377993</v>
          </cell>
          <cell r="X431">
            <v>34240.346343249199</v>
          </cell>
          <cell r="Y431">
            <v>32652.204119536338</v>
          </cell>
          <cell r="Z431">
            <v>38368.339723255427</v>
          </cell>
          <cell r="AA431">
            <v>22356.336903288247</v>
          </cell>
          <cell r="AB431">
            <v>29837.074977799399</v>
          </cell>
          <cell r="AC431">
            <v>35113.236365467674</v>
          </cell>
        </row>
        <row r="432">
          <cell r="V432">
            <v>33674.297653112561</v>
          </cell>
          <cell r="W432">
            <v>25420.057139493249</v>
          </cell>
          <cell r="X432">
            <v>20704.338486366025</v>
          </cell>
          <cell r="Y432">
            <v>29468.042970105154</v>
          </cell>
          <cell r="Z432">
            <v>34311.994051085661</v>
          </cell>
          <cell r="AA432">
            <v>21545.358373547948</v>
          </cell>
          <cell r="AB432">
            <v>28868.4697263587</v>
          </cell>
          <cell r="AC432">
            <v>33011.18581898835</v>
          </cell>
        </row>
        <row r="433">
          <cell r="V433">
            <v>35399.336051606922</v>
          </cell>
          <cell r="W433">
            <v>23096.504202660002</v>
          </cell>
          <cell r="X433">
            <v>21963.498165952071</v>
          </cell>
          <cell r="Y433">
            <v>30875.266811753081</v>
          </cell>
          <cell r="Z433">
            <v>33743.578984923413</v>
          </cell>
          <cell r="AA433">
            <v>17831.492198579912</v>
          </cell>
          <cell r="AB433">
            <v>27047.820140105821</v>
          </cell>
          <cell r="AC433">
            <v>30992.317585856315</v>
          </cell>
        </row>
        <row r="434">
          <cell r="V434">
            <v>32532.06048843031</v>
          </cell>
          <cell r="W434">
            <v>23342.541169310614</v>
          </cell>
          <cell r="X434">
            <v>21265.289659796566</v>
          </cell>
          <cell r="Y434">
            <v>27957.414076407447</v>
          </cell>
          <cell r="Z434">
            <v>35613.8569721526</v>
          </cell>
          <cell r="AA434">
            <v>24014.100156517681</v>
          </cell>
          <cell r="AB434">
            <v>26407.576613418751</v>
          </cell>
          <cell r="AC434">
            <v>33118.69687492567</v>
          </cell>
        </row>
        <row r="435">
          <cell r="V435">
            <v>31160.061184095259</v>
          </cell>
          <cell r="W435">
            <v>19343.108572969548</v>
          </cell>
          <cell r="X435">
            <v>17243.193788799927</v>
          </cell>
          <cell r="Y435">
            <v>25348.031904110128</v>
          </cell>
          <cell r="Z435">
            <v>34706.681351930798</v>
          </cell>
          <cell r="AA435">
            <v>21099.978822982022</v>
          </cell>
          <cell r="AB435">
            <v>21075.867066587594</v>
          </cell>
          <cell r="AC435">
            <v>31021.966579290787</v>
          </cell>
        </row>
        <row r="436">
          <cell r="V436">
            <v>31180.501799164918</v>
          </cell>
          <cell r="W436">
            <v>17848.31659948816</v>
          </cell>
          <cell r="X436">
            <v>18888.229154419045</v>
          </cell>
          <cell r="Y436">
            <v>26592.652292116913</v>
          </cell>
          <cell r="Z436">
            <v>34175.787454341094</v>
          </cell>
          <cell r="AA436">
            <v>19135.023817556801</v>
          </cell>
          <cell r="AB436">
            <v>23156.511213045091</v>
          </cell>
          <cell r="AC436">
            <v>30550.859004749371</v>
          </cell>
        </row>
        <row r="437">
          <cell r="V437">
            <v>31265.399933630604</v>
          </cell>
          <cell r="W437">
            <v>21395.900327099225</v>
          </cell>
          <cell r="X437">
            <v>17044.002963398318</v>
          </cell>
          <cell r="Y437">
            <v>24094.947679731977</v>
          </cell>
          <cell r="Z437">
            <v>36368.776897951968</v>
          </cell>
          <cell r="AA437">
            <v>20433.763372126952</v>
          </cell>
          <cell r="AB437">
            <v>18212.746169754115</v>
          </cell>
          <cell r="AC437">
            <v>29100.085397071947</v>
          </cell>
        </row>
        <row r="438">
          <cell r="V438">
            <v>37265.509212813886</v>
          </cell>
          <cell r="W438">
            <v>22679.202883017901</v>
          </cell>
          <cell r="X438">
            <v>19883.510404954959</v>
          </cell>
          <cell r="Y438">
            <v>31178.302838104715</v>
          </cell>
          <cell r="Z438">
            <v>34587.683908913175</v>
          </cell>
          <cell r="AA438">
            <v>23610.4509697873</v>
          </cell>
          <cell r="AB438">
            <v>22041.161568338033</v>
          </cell>
          <cell r="AC438">
            <v>31462.742630297878</v>
          </cell>
        </row>
        <row r="439">
          <cell r="V439">
            <v>45737.362454715862</v>
          </cell>
          <cell r="W439">
            <v>25135.702893008285</v>
          </cell>
          <cell r="X439">
            <v>20933.533808456974</v>
          </cell>
          <cell r="Y439">
            <v>39008.423536958915</v>
          </cell>
          <cell r="Z439">
            <v>42190.456442581686</v>
          </cell>
          <cell r="AA439">
            <v>22960.606622409254</v>
          </cell>
          <cell r="AB439">
            <v>23204.79818464816</v>
          </cell>
          <cell r="AC439">
            <v>35662.339157090712</v>
          </cell>
        </row>
        <row r="440">
          <cell r="V440">
            <v>44758.650368905146</v>
          </cell>
          <cell r="W440">
            <v>18445.023888680484</v>
          </cell>
          <cell r="X440">
            <v>24974.760564681888</v>
          </cell>
          <cell r="Y440">
            <v>33637.125698355521</v>
          </cell>
          <cell r="Z440">
            <v>48385.003655021654</v>
          </cell>
          <cell r="AA440">
            <v>21413.890476020872</v>
          </cell>
          <cell r="AB440">
            <v>24794.239317642416</v>
          </cell>
          <cell r="AC440">
            <v>37685.580135637865</v>
          </cell>
        </row>
        <row r="441">
          <cell r="V441">
            <v>54967.793782189598</v>
          </cell>
          <cell r="W441">
            <v>38520.591430771769</v>
          </cell>
          <cell r="X441">
            <v>26211.728283849596</v>
          </cell>
          <cell r="Y441">
            <v>43634.540732744208</v>
          </cell>
          <cell r="Z441">
            <v>54508.63358950839</v>
          </cell>
          <cell r="AA441">
            <v>37887.034614448319</v>
          </cell>
          <cell r="AB441">
            <v>28406.429755289173</v>
          </cell>
          <cell r="AC441">
            <v>46664.998004440255</v>
          </cell>
        </row>
        <row r="442">
          <cell r="V442">
            <v>58581.402144083222</v>
          </cell>
          <cell r="W442">
            <v>41045.505787942726</v>
          </cell>
          <cell r="X442">
            <v>22381.631365049328</v>
          </cell>
          <cell r="Y442">
            <v>46704.984742258675</v>
          </cell>
          <cell r="Z442">
            <v>59208.238001728831</v>
          </cell>
          <cell r="AA442">
            <v>53258.194509233406</v>
          </cell>
          <cell r="AB442">
            <v>26415.254813596974</v>
          </cell>
          <cell r="AC442">
            <v>49947.717636042536</v>
          </cell>
        </row>
        <row r="443">
          <cell r="V443">
            <v>59722.541389236707</v>
          </cell>
          <cell r="W443">
            <v>51138.474704474713</v>
          </cell>
          <cell r="X443">
            <v>26117.32649461885</v>
          </cell>
          <cell r="Y443">
            <v>44284.16456964847</v>
          </cell>
          <cell r="Z443">
            <v>61327.659591925367</v>
          </cell>
          <cell r="AA443">
            <v>46597.164667599514</v>
          </cell>
          <cell r="AB443">
            <v>26730.930665681506</v>
          </cell>
          <cell r="AC443">
            <v>46373.454813566248</v>
          </cell>
        </row>
        <row r="444">
          <cell r="V444">
            <v>61200.610390039699</v>
          </cell>
          <cell r="W444">
            <v>31885.599325272786</v>
          </cell>
          <cell r="X444">
            <v>25434.574041391286</v>
          </cell>
          <cell r="Y444">
            <v>46932.356164876597</v>
          </cell>
          <cell r="Z444">
            <v>62174.744995492903</v>
          </cell>
          <cell r="AA444">
            <v>36480.938439262005</v>
          </cell>
          <cell r="AB444">
            <v>28272.445515955405</v>
          </cell>
          <cell r="AC444">
            <v>50222.676935527255</v>
          </cell>
        </row>
        <row r="445">
          <cell r="V445">
            <v>60370.468705141808</v>
          </cell>
          <cell r="W445">
            <v>28076.498130743163</v>
          </cell>
          <cell r="X445">
            <v>25954.654300077545</v>
          </cell>
          <cell r="Y445">
            <v>46983.23087871835</v>
          </cell>
          <cell r="Z445">
            <v>71616.797088044521</v>
          </cell>
          <cell r="AA445">
            <v>29608.102363436279</v>
          </cell>
          <cell r="AB445">
            <v>29955.255397506244</v>
          </cell>
          <cell r="AC445">
            <v>51161.777696128003</v>
          </cell>
        </row>
        <row r="446">
          <cell r="V446">
            <v>79747.254247543824</v>
          </cell>
          <cell r="W446">
            <v>38852.255777090453</v>
          </cell>
          <cell r="X446">
            <v>30168.669301298349</v>
          </cell>
          <cell r="Y446">
            <v>55719.937223532645</v>
          </cell>
          <cell r="Z446">
            <v>71966.14933204696</v>
          </cell>
          <cell r="AA446">
            <v>32568.081353819856</v>
          </cell>
          <cell r="AB446">
            <v>37766.035456016536</v>
          </cell>
          <cell r="AC446">
            <v>52218.864617938998</v>
          </cell>
        </row>
        <row r="447">
          <cell r="V447">
            <v>69706.373717571521</v>
          </cell>
          <cell r="W447">
            <v>37052.329079132694</v>
          </cell>
          <cell r="X447">
            <v>29532.095407213106</v>
          </cell>
          <cell r="Y447">
            <v>51976.215389604084</v>
          </cell>
          <cell r="Z447">
            <v>89400.998159755938</v>
          </cell>
          <cell r="AA447">
            <v>46204.697218201334</v>
          </cell>
          <cell r="AB447">
            <v>32320.95597167372</v>
          </cell>
          <cell r="AC447">
            <v>66324.766730208445</v>
          </cell>
        </row>
        <row r="448">
          <cell r="V448">
            <v>88169.861959215268</v>
          </cell>
          <cell r="W448">
            <v>47219.434026972114</v>
          </cell>
          <cell r="X448">
            <v>32167.538429775777</v>
          </cell>
          <cell r="Y448">
            <v>52279.353426188587</v>
          </cell>
          <cell r="Z448">
            <v>93587.198452095894</v>
          </cell>
          <cell r="AA448">
            <v>51090.455562326577</v>
          </cell>
          <cell r="AB448">
            <v>32980.325837334269</v>
          </cell>
          <cell r="AC448">
            <v>67968.318822133617</v>
          </cell>
        </row>
        <row r="449">
          <cell r="V449">
            <v>73993.786813582672</v>
          </cell>
          <cell r="W449">
            <v>41272.779814889749</v>
          </cell>
          <cell r="X449">
            <v>28940.84894701267</v>
          </cell>
          <cell r="Y449">
            <v>55638.99492257613</v>
          </cell>
          <cell r="AA449">
            <v>49624.940324727242</v>
          </cell>
          <cell r="AB449">
            <v>33732.278168410514</v>
          </cell>
          <cell r="AC449">
            <v>68602.052935559987</v>
          </cell>
        </row>
        <row r="450">
          <cell r="V450">
            <v>83458.740159335634</v>
          </cell>
          <cell r="W450">
            <v>22750.829291459366</v>
          </cell>
          <cell r="X450">
            <v>29220.688415488639</v>
          </cell>
          <cell r="Y450">
            <v>51717.924516765641</v>
          </cell>
          <cell r="AA450">
            <v>28047.550513030299</v>
          </cell>
          <cell r="AB450">
            <v>37398.170805986665</v>
          </cell>
          <cell r="AC450">
            <v>66039.833410464009</v>
          </cell>
        </row>
        <row r="451">
          <cell r="V451">
            <v>77686.119858398699</v>
          </cell>
          <cell r="W451">
            <v>39204.741456465184</v>
          </cell>
          <cell r="X451">
            <v>32576.47362184259</v>
          </cell>
          <cell r="Y451">
            <v>58883.568028781956</v>
          </cell>
          <cell r="AA451">
            <v>37908.134128023783</v>
          </cell>
          <cell r="AB451">
            <v>31040.374471292744</v>
          </cell>
          <cell r="AC451">
            <v>61761.659255403072</v>
          </cell>
        </row>
        <row r="452">
          <cell r="V452">
            <v>75090.2573913284</v>
          </cell>
          <cell r="W452">
            <v>39731.463464773122</v>
          </cell>
          <cell r="X452">
            <v>41227.538671906914</v>
          </cell>
          <cell r="Y452">
            <v>53953.066862019841</v>
          </cell>
          <cell r="AA452">
            <v>44635.417480112963</v>
          </cell>
          <cell r="AB452">
            <v>44700.375041665851</v>
          </cell>
          <cell r="AC452">
            <v>60452.24183633738</v>
          </cell>
        </row>
        <row r="453">
          <cell r="V453">
            <v>68843.222492128727</v>
          </cell>
          <cell r="W453">
            <v>57687.697579986198</v>
          </cell>
          <cell r="X453">
            <v>50066.882337476789</v>
          </cell>
          <cell r="Y453">
            <v>55055.638451106817</v>
          </cell>
          <cell r="AA453">
            <v>30919.810710729558</v>
          </cell>
          <cell r="AB453">
            <v>44974.025901066379</v>
          </cell>
          <cell r="AC453">
            <v>63390.380423393923</v>
          </cell>
        </row>
        <row r="454">
          <cell r="V454">
            <v>77630.287435181468</v>
          </cell>
          <cell r="W454">
            <v>62730.543121480812</v>
          </cell>
          <cell r="X454">
            <v>40762.61518178603</v>
          </cell>
          <cell r="Y454">
            <v>69960.134029154156</v>
          </cell>
          <cell r="AA454">
            <v>53250.511343837221</v>
          </cell>
          <cell r="AB454">
            <v>49372.767552019017</v>
          </cell>
          <cell r="AC454">
            <v>70833.320962828686</v>
          </cell>
        </row>
        <row r="455">
          <cell r="V455">
            <v>65384.867300685422</v>
          </cell>
          <cell r="W455">
            <v>42620.486046137041</v>
          </cell>
          <cell r="X455">
            <v>43932.26563984574</v>
          </cell>
          <cell r="Y455">
            <v>56455.92552705673</v>
          </cell>
          <cell r="AA455">
            <v>47793.499924597811</v>
          </cell>
          <cell r="AB455">
            <v>46501.871553587313</v>
          </cell>
          <cell r="AC455">
            <v>61803.800015382534</v>
          </cell>
        </row>
        <row r="456">
          <cell r="V456">
            <v>66639.914939371418</v>
          </cell>
          <cell r="W456">
            <v>45404.20688930335</v>
          </cell>
          <cell r="X456">
            <v>41103.206831209493</v>
          </cell>
          <cell r="Y456">
            <v>55996.155128740589</v>
          </cell>
          <cell r="AA456">
            <v>57122.577065430545</v>
          </cell>
          <cell r="AB456">
            <v>49670.026250907729</v>
          </cell>
          <cell r="AC456">
            <v>68934.335999511604</v>
          </cell>
        </row>
        <row r="457">
          <cell r="V457">
            <v>75431.775774240275</v>
          </cell>
          <cell r="W457">
            <v>44343.779234073736</v>
          </cell>
          <cell r="X457">
            <v>43829.340014003334</v>
          </cell>
          <cell r="Y457">
            <v>64363.461685626331</v>
          </cell>
          <cell r="AA457">
            <v>45835.464071707509</v>
          </cell>
          <cell r="AB457">
            <v>48163.978436236714</v>
          </cell>
          <cell r="AC457">
            <v>66003.118636744242</v>
          </cell>
        </row>
        <row r="458">
          <cell r="V458">
            <v>63294.341806280376</v>
          </cell>
          <cell r="W458">
            <v>43771.216897856932</v>
          </cell>
          <cell r="X458">
            <v>44942.071058369744</v>
          </cell>
          <cell r="Y458">
            <v>54463.323138005864</v>
          </cell>
          <cell r="AA458">
            <v>44671.062971429012</v>
          </cell>
          <cell r="AB458">
            <v>54989.83541675342</v>
          </cell>
          <cell r="AC458">
            <v>77526.297383403362</v>
          </cell>
        </row>
        <row r="459">
          <cell r="V459">
            <v>63138.740359071657</v>
          </cell>
          <cell r="W459">
            <v>42693.884899729594</v>
          </cell>
          <cell r="X459">
            <v>39459.109961548289</v>
          </cell>
          <cell r="Y459">
            <v>52997.763796908781</v>
          </cell>
          <cell r="AA459">
            <v>49443.920751421065</v>
          </cell>
          <cell r="AB459">
            <v>44675.659170830448</v>
          </cell>
          <cell r="AC459">
            <v>79062.137399520769</v>
          </cell>
        </row>
        <row r="460">
          <cell r="V460">
            <v>69470.751047044279</v>
          </cell>
          <cell r="W460">
            <v>39487.36436998687</v>
          </cell>
          <cell r="X460">
            <v>38296.328802330754</v>
          </cell>
          <cell r="Y460">
            <v>52274.545135927576</v>
          </cell>
          <cell r="AA460">
            <v>47136.314541166204</v>
          </cell>
          <cell r="AB460">
            <v>44036.894955448828</v>
          </cell>
          <cell r="AC460">
            <v>64078.187819866536</v>
          </cell>
        </row>
        <row r="461">
          <cell r="V461">
            <v>64742.340869900421</v>
          </cell>
          <cell r="W461">
            <v>27231.22249349015</v>
          </cell>
          <cell r="X461">
            <v>36812.762225907696</v>
          </cell>
          <cell r="Y461">
            <v>51404.730212724666</v>
          </cell>
          <cell r="AA461">
            <v>49625.293070675492</v>
          </cell>
          <cell r="AB461">
            <v>44077.533141578591</v>
          </cell>
          <cell r="AC461">
            <v>58181.176902856176</v>
          </cell>
        </row>
        <row r="462">
          <cell r="V462">
            <v>62250.129605667556</v>
          </cell>
          <cell r="W462">
            <v>49986.517414022623</v>
          </cell>
          <cell r="X462">
            <v>41501.7924476724</v>
          </cell>
          <cell r="Y462">
            <v>53338.89366580778</v>
          </cell>
          <cell r="AA462">
            <v>44353.729157206348</v>
          </cell>
          <cell r="AB462">
            <v>43222.622055458982</v>
          </cell>
          <cell r="AC462">
            <v>57952.036355287186</v>
          </cell>
        </row>
        <row r="463">
          <cell r="V463">
            <v>61760.487692072908</v>
          </cell>
          <cell r="W463">
            <v>40086.018769971619</v>
          </cell>
          <cell r="X463">
            <v>37707.317356129548</v>
          </cell>
          <cell r="Y463">
            <v>51467.815492899033</v>
          </cell>
          <cell r="AA463">
            <v>45680.867039233133</v>
          </cell>
          <cell r="AB463">
            <v>41398.981769465914</v>
          </cell>
          <cell r="AC463">
            <v>50950.537025328973</v>
          </cell>
        </row>
        <row r="464">
          <cell r="V464">
            <v>57939.856579074971</v>
          </cell>
          <cell r="W464">
            <v>40176.101268616796</v>
          </cell>
          <cell r="X464">
            <v>35055.734332211112</v>
          </cell>
          <cell r="Y464">
            <v>49556.50541448802</v>
          </cell>
          <cell r="AA464">
            <v>44792.267429120999</v>
          </cell>
          <cell r="AB464">
            <v>38771.580564899821</v>
          </cell>
          <cell r="AC464">
            <v>56358.082012018567</v>
          </cell>
        </row>
        <row r="465">
          <cell r="V465">
            <v>56860.194656841464</v>
          </cell>
          <cell r="W465">
            <v>28158.640387812757</v>
          </cell>
          <cell r="X465">
            <v>34941.367018606856</v>
          </cell>
          <cell r="Y465">
            <v>48114.422406903745</v>
          </cell>
          <cell r="AA465">
            <v>39242.956087190345</v>
          </cell>
          <cell r="AB465">
            <v>38255.35982466719</v>
          </cell>
          <cell r="AC465">
            <v>48125.513060119243</v>
          </cell>
        </row>
        <row r="466">
          <cell r="V466">
            <v>55157.867490708748</v>
          </cell>
          <cell r="W466">
            <v>32571.469710082391</v>
          </cell>
          <cell r="X466">
            <v>35992.72483847801</v>
          </cell>
          <cell r="Y466">
            <v>50131.704893296584</v>
          </cell>
          <cell r="AA466">
            <v>63667.953031973375</v>
          </cell>
          <cell r="AB466">
            <v>37480.958081969235</v>
          </cell>
          <cell r="AC466">
            <v>51388.627663475578</v>
          </cell>
        </row>
        <row r="467">
          <cell r="V467">
            <v>51228.575487618749</v>
          </cell>
          <cell r="W467">
            <v>23168.535437666054</v>
          </cell>
          <cell r="X467">
            <v>32974.863529951843</v>
          </cell>
          <cell r="Y467">
            <v>44754.860893733348</v>
          </cell>
          <cell r="AA467">
            <v>34343.234533165822</v>
          </cell>
          <cell r="AB467">
            <v>36718.286016989354</v>
          </cell>
          <cell r="AC467">
            <v>49169.072937096193</v>
          </cell>
        </row>
        <row r="468">
          <cell r="V468">
            <v>46546.869792518184</v>
          </cell>
          <cell r="W468">
            <v>29591.580241696236</v>
          </cell>
          <cell r="X468">
            <v>28984.632380185241</v>
          </cell>
          <cell r="Y468">
            <v>32349.6508868274</v>
          </cell>
          <cell r="AA468">
            <v>44220.076768224091</v>
          </cell>
          <cell r="AB468">
            <v>32752.208577309058</v>
          </cell>
          <cell r="AC468">
            <v>45258.780916078067</v>
          </cell>
        </row>
        <row r="469">
          <cell r="V469">
            <v>41995.251256273215</v>
          </cell>
          <cell r="W469">
            <v>33826.836474077521</v>
          </cell>
          <cell r="X469">
            <v>27686.189686290149</v>
          </cell>
          <cell r="Y469">
            <v>32332.762928431319</v>
          </cell>
          <cell r="AA469">
            <v>37574.888605358625</v>
          </cell>
          <cell r="AB469">
            <v>32519.691440941901</v>
          </cell>
          <cell r="AC469">
            <v>42135.221881583071</v>
          </cell>
        </row>
        <row r="470">
          <cell r="V470">
            <v>40221.330777221279</v>
          </cell>
          <cell r="W470">
            <v>34278.183397387227</v>
          </cell>
          <cell r="X470">
            <v>27104.457940709653</v>
          </cell>
          <cell r="Y470">
            <v>34330.940840207637</v>
          </cell>
          <cell r="AA470">
            <v>33542.581653996975</v>
          </cell>
          <cell r="AB470">
            <v>31414.26920460779</v>
          </cell>
          <cell r="AC470">
            <v>40745.044904731192</v>
          </cell>
        </row>
        <row r="471">
          <cell r="V471">
            <v>35824.519509169149</v>
          </cell>
          <cell r="W471">
            <v>30274.377011539931</v>
          </cell>
          <cell r="X471">
            <v>28435.456780951859</v>
          </cell>
          <cell r="Y471">
            <v>32727.93974261728</v>
          </cell>
          <cell r="AA471">
            <v>31525.777458904042</v>
          </cell>
          <cell r="AB471">
            <v>29159.007423075687</v>
          </cell>
          <cell r="AC471">
            <v>37553.697052976044</v>
          </cell>
        </row>
        <row r="472">
          <cell r="V472">
            <v>38964.724253411252</v>
          </cell>
          <cell r="W472">
            <v>28859.483067056452</v>
          </cell>
          <cell r="X472">
            <v>28639.396342823511</v>
          </cell>
          <cell r="Y472">
            <v>34367.35712498978</v>
          </cell>
          <cell r="AA472">
            <v>24639.523913893678</v>
          </cell>
          <cell r="AB472">
            <v>30436.771257392546</v>
          </cell>
          <cell r="AC472">
            <v>34423.601510071523</v>
          </cell>
        </row>
        <row r="473">
          <cell r="V473">
            <v>35226.972846387333</v>
          </cell>
          <cell r="W473">
            <v>18197.252622794455</v>
          </cell>
          <cell r="X473">
            <v>25686.890521909347</v>
          </cell>
          <cell r="Y473">
            <v>31752.641396174167</v>
          </cell>
          <cell r="AA473">
            <v>21578.542654510387</v>
          </cell>
          <cell r="AB473">
            <v>31913.599124376131</v>
          </cell>
          <cell r="AC473">
            <v>37659.790021186309</v>
          </cell>
        </row>
        <row r="474">
          <cell r="V474">
            <v>34897.989542961965</v>
          </cell>
          <cell r="W474">
            <v>21411.093345923524</v>
          </cell>
          <cell r="X474">
            <v>24009.576781949014</v>
          </cell>
          <cell r="Y474">
            <v>30042.828442969305</v>
          </cell>
          <cell r="AA474">
            <v>18468.905216883853</v>
          </cell>
          <cell r="AB474">
            <v>25871.278887093256</v>
          </cell>
          <cell r="AC474">
            <v>33293.021551052625</v>
          </cell>
        </row>
        <row r="475">
          <cell r="V475">
            <v>29519.122648094548</v>
          </cell>
          <cell r="W475">
            <v>31222.907503500875</v>
          </cell>
          <cell r="X475">
            <v>23939.912047625723</v>
          </cell>
          <cell r="Y475">
            <v>27159.754981229624</v>
          </cell>
          <cell r="AA475">
            <v>19214.237397228622</v>
          </cell>
          <cell r="AB475">
            <v>22842.039105428204</v>
          </cell>
          <cell r="AC475">
            <v>27944.628219014874</v>
          </cell>
        </row>
        <row r="476">
          <cell r="V476">
            <v>25788.321717556104</v>
          </cell>
          <cell r="W476">
            <v>22538.542360988355</v>
          </cell>
          <cell r="X476">
            <v>22013.407320277129</v>
          </cell>
          <cell r="Y476">
            <v>24015.330574068292</v>
          </cell>
          <cell r="AA476">
            <v>24367.533820688834</v>
          </cell>
          <cell r="AB476">
            <v>22793.537511541628</v>
          </cell>
          <cell r="AC476">
            <v>27106.266266410174</v>
          </cell>
        </row>
        <row r="477">
          <cell r="V477">
            <v>23124.176807333894</v>
          </cell>
          <cell r="W477">
            <v>24944.961997710085</v>
          </cell>
          <cell r="X477">
            <v>19389.72316105595</v>
          </cell>
          <cell r="Y477">
            <v>22661.467892675282</v>
          </cell>
          <cell r="AA477">
            <v>23091.735960918715</v>
          </cell>
          <cell r="AB477">
            <v>22276.958492006943</v>
          </cell>
          <cell r="AC477">
            <v>24859.932831842929</v>
          </cell>
        </row>
        <row r="478">
          <cell r="V478">
            <v>25239.068284595582</v>
          </cell>
          <cell r="W478">
            <v>23044.568963285441</v>
          </cell>
          <cell r="X478">
            <v>21198.983071317463</v>
          </cell>
          <cell r="Y478">
            <v>23452.631526363704</v>
          </cell>
          <cell r="AA478">
            <v>23914.858745616035</v>
          </cell>
          <cell r="AB478">
            <v>22994.05959065686</v>
          </cell>
          <cell r="AC478">
            <v>30783.136527590497</v>
          </cell>
        </row>
        <row r="479">
          <cell r="V479">
            <v>22640.3324802594</v>
          </cell>
          <cell r="W479">
            <v>21801.524694182037</v>
          </cell>
          <cell r="X479">
            <v>21457.223358734005</v>
          </cell>
          <cell r="Y479">
            <v>22119.491366578808</v>
          </cell>
          <cell r="AA479">
            <v>22051.86655281753</v>
          </cell>
          <cell r="AB479">
            <v>22994.062275318382</v>
          </cell>
          <cell r="AC479">
            <v>29936.009503350873</v>
          </cell>
        </row>
        <row r="480">
          <cell r="V480">
            <v>22181.427409723703</v>
          </cell>
          <cell r="W480">
            <v>16309.752865532793</v>
          </cell>
          <cell r="X480">
            <v>19165.248850955471</v>
          </cell>
          <cell r="Y480">
            <v>20672.080341115747</v>
          </cell>
          <cell r="AA480">
            <v>21156.643639600094</v>
          </cell>
          <cell r="AB480">
            <v>22559.707518793573</v>
          </cell>
          <cell r="AC480">
            <v>28285.792960325001</v>
          </cell>
        </row>
        <row r="481">
          <cell r="V481">
            <v>23102.226811058652</v>
          </cell>
          <cell r="W481">
            <v>17698.127690688652</v>
          </cell>
          <cell r="X481">
            <v>18886.138711600761</v>
          </cell>
          <cell r="Y481">
            <v>20988.095726606214</v>
          </cell>
          <cell r="AA481">
            <v>20428.088532044796</v>
          </cell>
          <cell r="AB481">
            <v>22421.072779073555</v>
          </cell>
          <cell r="AC481">
            <v>25188.743542863049</v>
          </cell>
        </row>
        <row r="482">
          <cell r="V482">
            <v>22735.009298987523</v>
          </cell>
          <cell r="W482">
            <v>15018.891899159205</v>
          </cell>
          <cell r="X482">
            <v>17794.153167798097</v>
          </cell>
          <cell r="Y482">
            <v>21016.388157072251</v>
          </cell>
          <cell r="AA482">
            <v>19310.127060164901</v>
          </cell>
          <cell r="AB482">
            <v>23632.693498051143</v>
          </cell>
          <cell r="AC482">
            <v>28250.176358684512</v>
          </cell>
        </row>
        <row r="483">
          <cell r="V483">
            <v>26141.595782989727</v>
          </cell>
          <cell r="W483">
            <v>20113.011320721653</v>
          </cell>
          <cell r="X483">
            <v>19269.974069518088</v>
          </cell>
          <cell r="Y483">
            <v>23679.728582923868</v>
          </cell>
          <cell r="AA483">
            <v>19553.28309019062</v>
          </cell>
          <cell r="AB483">
            <v>20300.414174863021</v>
          </cell>
          <cell r="AC483">
            <v>25519.032477834826</v>
          </cell>
        </row>
        <row r="484">
          <cell r="V484">
            <v>20970.803530320383</v>
          </cell>
          <cell r="W484">
            <v>17624.096198364274</v>
          </cell>
          <cell r="X484">
            <v>18831.175107420469</v>
          </cell>
          <cell r="Y484">
            <v>20146.4180666717</v>
          </cell>
          <cell r="AA484">
            <v>20089.811327871841</v>
          </cell>
          <cell r="AB484">
            <v>21115.376609696552</v>
          </cell>
          <cell r="AC484">
            <v>23582.686295226649</v>
          </cell>
        </row>
        <row r="485">
          <cell r="V485">
            <v>22567.202202879023</v>
          </cell>
          <cell r="W485">
            <v>16228.205541786447</v>
          </cell>
          <cell r="X485">
            <v>18491.706132258132</v>
          </cell>
          <cell r="Y485">
            <v>21250.615379453047</v>
          </cell>
          <cell r="AA485">
            <v>17773.662331952411</v>
          </cell>
          <cell r="AB485">
            <v>19450.310192724166</v>
          </cell>
          <cell r="AC485">
            <v>23306.028747043085</v>
          </cell>
        </row>
        <row r="486">
          <cell r="V486">
            <v>25730.165681292976</v>
          </cell>
          <cell r="W486">
            <v>22659.860108938126</v>
          </cell>
          <cell r="X486">
            <v>19648.22117126314</v>
          </cell>
          <cell r="Y486">
            <v>24402.259158930312</v>
          </cell>
          <cell r="AA486">
            <v>17876.74387625571</v>
          </cell>
          <cell r="AB486">
            <v>18640.685488717514</v>
          </cell>
          <cell r="AC486">
            <v>23975.268087390727</v>
          </cell>
        </row>
        <row r="487">
          <cell r="V487">
            <v>23499.682524386222</v>
          </cell>
          <cell r="W487">
            <v>23295.367681449257</v>
          </cell>
          <cell r="X487">
            <v>20201.350807180297</v>
          </cell>
          <cell r="Y487">
            <v>22910.818845836435</v>
          </cell>
          <cell r="AA487">
            <v>22012.876212904488</v>
          </cell>
          <cell r="AB487">
            <v>25097.955864396132</v>
          </cell>
          <cell r="AC487">
            <v>25989.443836433355</v>
          </cell>
        </row>
        <row r="488">
          <cell r="V488">
            <v>22089.012726213139</v>
          </cell>
          <cell r="W488">
            <v>19477.344319740001</v>
          </cell>
          <cell r="X488">
            <v>14824.206761754114</v>
          </cell>
          <cell r="Y488">
            <v>18118.55608663414</v>
          </cell>
          <cell r="AA488">
            <v>34085.352559545005</v>
          </cell>
          <cell r="AB488">
            <v>33540.473852200274</v>
          </cell>
          <cell r="AC488">
            <v>32411.27481526335</v>
          </cell>
        </row>
        <row r="489">
          <cell r="V489">
            <v>21762.678316773272</v>
          </cell>
          <cell r="W489">
            <v>21219.606107017898</v>
          </cell>
          <cell r="X489">
            <v>26127.27153363049</v>
          </cell>
          <cell r="Y489">
            <v>22489.748792977731</v>
          </cell>
          <cell r="AA489">
            <v>32798.957037667817</v>
          </cell>
          <cell r="AB489">
            <v>30803.19078192384</v>
          </cell>
          <cell r="AC489">
            <v>30964.279696718066</v>
          </cell>
        </row>
        <row r="490">
          <cell r="V490">
            <v>23793.654466981927</v>
          </cell>
          <cell r="W490">
            <v>20014.109793492917</v>
          </cell>
          <cell r="X490">
            <v>26705.770454161535</v>
          </cell>
          <cell r="Y490">
            <v>24273.498515494088</v>
          </cell>
          <cell r="AA490">
            <v>29749.617661794935</v>
          </cell>
          <cell r="AB490">
            <v>31713.696869282776</v>
          </cell>
          <cell r="AC490">
            <v>32787.520319768861</v>
          </cell>
        </row>
        <row r="491">
          <cell r="V491">
            <v>25624.684269088557</v>
          </cell>
          <cell r="W491">
            <v>23672.258479068576</v>
          </cell>
          <cell r="X491">
            <v>24315.366579617763</v>
          </cell>
          <cell r="Y491">
            <v>25345.366273313019</v>
          </cell>
          <cell r="AA491">
            <v>29508.301147695282</v>
          </cell>
          <cell r="AB491">
            <v>33036.995159489488</v>
          </cell>
          <cell r="AC491">
            <v>32306.148072798613</v>
          </cell>
        </row>
        <row r="492">
          <cell r="V492">
            <v>31190.746966480459</v>
          </cell>
          <cell r="W492">
            <v>23263.718882950536</v>
          </cell>
          <cell r="X492">
            <v>24882.161357124565</v>
          </cell>
          <cell r="Y492">
            <v>29256.250374438096</v>
          </cell>
          <cell r="AA492">
            <v>32079.833784035283</v>
          </cell>
          <cell r="AB492">
            <v>32359.533725872745</v>
          </cell>
          <cell r="AC492">
            <v>35656.630278271921</v>
          </cell>
        </row>
        <row r="493">
          <cell r="V493">
            <v>26840.601134849509</v>
          </cell>
          <cell r="W493">
            <v>22317.989571476806</v>
          </cell>
          <cell r="X493">
            <v>31751.332427734596</v>
          </cell>
          <cell r="Y493">
            <v>28635.54437139284</v>
          </cell>
          <cell r="AA493">
            <v>29145.006772603581</v>
          </cell>
          <cell r="AB493">
            <v>31656.733769288523</v>
          </cell>
          <cell r="AC493">
            <v>33547.159763889576</v>
          </cell>
        </row>
        <row r="494">
          <cell r="V494">
            <v>27028.91818493179</v>
          </cell>
          <cell r="W494">
            <v>25136.578770506498</v>
          </cell>
          <cell r="X494">
            <v>32394.201883060978</v>
          </cell>
          <cell r="Y494">
            <v>28598.024648856619</v>
          </cell>
          <cell r="AA494">
            <v>33122.008355268212</v>
          </cell>
          <cell r="AB494">
            <v>34064.664660844981</v>
          </cell>
          <cell r="AC494">
            <v>36339.006653134449</v>
          </cell>
        </row>
        <row r="495">
          <cell r="V495">
            <v>38462.545557120655</v>
          </cell>
          <cell r="W495">
            <v>25020.503639458184</v>
          </cell>
          <cell r="X495">
            <v>30414.817262215096</v>
          </cell>
          <cell r="Y495">
            <v>36666.848209398289</v>
          </cell>
          <cell r="AA495">
            <v>33983.721895508643</v>
          </cell>
          <cell r="AB495">
            <v>37737.91162799266</v>
          </cell>
          <cell r="AC495">
            <v>39617.172968111612</v>
          </cell>
        </row>
        <row r="496">
          <cell r="V496">
            <v>34168.020926095334</v>
          </cell>
          <cell r="W496">
            <v>34458.689071899935</v>
          </cell>
          <cell r="X496">
            <v>28476.456200654284</v>
          </cell>
          <cell r="Y496">
            <v>32911.008681519314</v>
          </cell>
          <cell r="AA496">
            <v>36153.468726351712</v>
          </cell>
          <cell r="AB496">
            <v>39605.005858517245</v>
          </cell>
          <cell r="AC496">
            <v>40807.101044506715</v>
          </cell>
        </row>
        <row r="497">
          <cell r="V497">
            <v>40758.683562651706</v>
          </cell>
          <cell r="W497">
            <v>42269.734063328666</v>
          </cell>
          <cell r="X497">
            <v>33953.949077109719</v>
          </cell>
          <cell r="Y497">
            <v>39663.138883031221</v>
          </cell>
          <cell r="AA497">
            <v>42187.539869531676</v>
          </cell>
          <cell r="AB497">
            <v>41071.588355589185</v>
          </cell>
          <cell r="AC497">
            <v>42790.486242879204</v>
          </cell>
        </row>
        <row r="498">
          <cell r="V498">
            <v>43551.01051040164</v>
          </cell>
          <cell r="W498">
            <v>32151.80908737173</v>
          </cell>
          <cell r="X498">
            <v>39051.575560497804</v>
          </cell>
          <cell r="Y498">
            <v>41180.801796833461</v>
          </cell>
          <cell r="AA498">
            <v>38749.069526577878</v>
          </cell>
          <cell r="AB498">
            <v>42342.264312101179</v>
          </cell>
          <cell r="AC498">
            <v>41839.122109636883</v>
          </cell>
        </row>
        <row r="499">
          <cell r="V499">
            <v>45758.584138373662</v>
          </cell>
          <cell r="W499">
            <v>40222.552389770477</v>
          </cell>
          <cell r="X499">
            <v>32889.50897200247</v>
          </cell>
          <cell r="Y499">
            <v>42881.29408569412</v>
          </cell>
          <cell r="AA499">
            <v>39613.425644434748</v>
          </cell>
          <cell r="AB499">
            <v>53263.306506268003</v>
          </cell>
          <cell r="AC499">
            <v>52711.757159338638</v>
          </cell>
        </row>
        <row r="500">
          <cell r="V500">
            <v>53976.19728536516</v>
          </cell>
          <cell r="W500">
            <v>47780.83630082223</v>
          </cell>
          <cell r="X500">
            <v>52366.651270191986</v>
          </cell>
          <cell r="Y500">
            <v>52706.77220393785</v>
          </cell>
          <cell r="AA500">
            <v>61146.054490095172</v>
          </cell>
          <cell r="AB500">
            <v>61735.912212575611</v>
          </cell>
          <cell r="AC500">
            <v>62548.189127723774</v>
          </cell>
        </row>
        <row r="501">
          <cell r="V501">
            <v>55155.397082867021</v>
          </cell>
          <cell r="W501">
            <v>50376.705874238411</v>
          </cell>
          <cell r="X501">
            <v>63252.754971312017</v>
          </cell>
          <cell r="Y501">
            <v>58949.507647706872</v>
          </cell>
          <cell r="AA501">
            <v>47437.124715894024</v>
          </cell>
          <cell r="AB501">
            <v>55335.906247020059</v>
          </cell>
          <cell r="AC501">
            <v>61486.076461197401</v>
          </cell>
        </row>
        <row r="502">
          <cell r="V502">
            <v>58298.525947163194</v>
          </cell>
          <cell r="W502">
            <v>53801.91587348553</v>
          </cell>
          <cell r="X502">
            <v>58219.350280485327</v>
          </cell>
          <cell r="Y502">
            <v>58007.847154957373</v>
          </cell>
          <cell r="AA502">
            <v>51367.973865172884</v>
          </cell>
          <cell r="AB502">
            <v>51133.443553718702</v>
          </cell>
          <cell r="AC502">
            <v>56636.467828734043</v>
          </cell>
        </row>
        <row r="503">
          <cell r="V503">
            <v>57933.937513841425</v>
          </cell>
          <cell r="W503">
            <v>45336.973487896081</v>
          </cell>
          <cell r="X503">
            <v>49163.45539447054</v>
          </cell>
          <cell r="Y503">
            <v>55635.965847429681</v>
          </cell>
          <cell r="AA503">
            <v>54344.648791199244</v>
          </cell>
          <cell r="AB503">
            <v>58138.974100855849</v>
          </cell>
          <cell r="AC503">
            <v>59405.484639463924</v>
          </cell>
        </row>
        <row r="504">
          <cell r="V504">
            <v>54533.405400749674</v>
          </cell>
          <cell r="W504">
            <v>36932.953325108021</v>
          </cell>
          <cell r="X504">
            <v>50105.580192625486</v>
          </cell>
          <cell r="Y504">
            <v>52894.277961108026</v>
          </cell>
          <cell r="AA504">
            <v>50120.668770041077</v>
          </cell>
          <cell r="AB504">
            <v>58596.116913787802</v>
          </cell>
          <cell r="AC504">
            <v>58772.399303395629</v>
          </cell>
        </row>
        <row r="505">
          <cell r="V505">
            <v>48905.985964851978</v>
          </cell>
          <cell r="W505">
            <v>44480.667220082862</v>
          </cell>
          <cell r="X505">
            <v>42937.240058798532</v>
          </cell>
          <cell r="Y505">
            <v>47193.681053759115</v>
          </cell>
          <cell r="AA505">
            <v>46934.15781089096</v>
          </cell>
          <cell r="AB505">
            <v>53160.839220284455</v>
          </cell>
          <cell r="AC505">
            <v>53990.072273831487</v>
          </cell>
        </row>
        <row r="506">
          <cell r="V506">
            <v>52654.100679392555</v>
          </cell>
          <cell r="W506">
            <v>25253.91413689957</v>
          </cell>
          <cell r="X506">
            <v>40124.276731832688</v>
          </cell>
          <cell r="Y506">
            <v>48645.912556640098</v>
          </cell>
          <cell r="AA506">
            <v>35405.68499412942</v>
          </cell>
          <cell r="AB506">
            <v>49732.297354533061</v>
          </cell>
          <cell r="AC506">
            <v>55510.218864353788</v>
          </cell>
        </row>
        <row r="507">
          <cell r="V507">
            <v>46072.048972367542</v>
          </cell>
          <cell r="W507">
            <v>26320.179438003226</v>
          </cell>
          <cell r="X507">
            <v>34388.386772616439</v>
          </cell>
          <cell r="Y507">
            <v>39792.861169673881</v>
          </cell>
          <cell r="AA507">
            <v>42087.470220234623</v>
          </cell>
          <cell r="AB507">
            <v>39261.420733771702</v>
          </cell>
          <cell r="AC507">
            <v>48317.541280132413</v>
          </cell>
        </row>
        <row r="508">
          <cell r="V508">
            <v>41708.296169817673</v>
          </cell>
          <cell r="W508">
            <v>23593.779063875892</v>
          </cell>
          <cell r="X508">
            <v>34642.090416737199</v>
          </cell>
          <cell r="Y508">
            <v>38793.41584302616</v>
          </cell>
          <cell r="AA508">
            <v>41567.38887818619</v>
          </cell>
          <cell r="AB508">
            <v>49476.547926598811</v>
          </cell>
          <cell r="AC508">
            <v>47685.124712898854</v>
          </cell>
        </row>
        <row r="509">
          <cell r="V509">
            <v>58801.394652408773</v>
          </cell>
          <cell r="W509">
            <v>24803.493251895925</v>
          </cell>
          <cell r="X509">
            <v>46520.442826234437</v>
          </cell>
          <cell r="Y509">
            <v>55381.797949888096</v>
          </cell>
          <cell r="AA509">
            <v>52962.874199643418</v>
          </cell>
          <cell r="AB509">
            <v>42225.06805579894</v>
          </cell>
          <cell r="AC509">
            <v>49913.168205150134</v>
          </cell>
        </row>
        <row r="510">
          <cell r="V510">
            <v>45838.168507986527</v>
          </cell>
          <cell r="W510">
            <v>24035.153124547796</v>
          </cell>
          <cell r="X510">
            <v>43169.604159681941</v>
          </cell>
          <cell r="Y510">
            <v>43987.271458530318</v>
          </cell>
          <cell r="AA510">
            <v>59410.650413318013</v>
          </cell>
          <cell r="AB510">
            <v>44004.140515683095</v>
          </cell>
          <cell r="AC510">
            <v>51271.330337101172</v>
          </cell>
        </row>
        <row r="511">
          <cell r="V511">
            <v>51443.509905749022</v>
          </cell>
          <cell r="W511">
            <v>59884.927038079557</v>
          </cell>
          <cell r="X511">
            <v>50456.639571981759</v>
          </cell>
          <cell r="Y511">
            <v>51773.708882283579</v>
          </cell>
          <cell r="AA511">
            <v>60877.895437760933</v>
          </cell>
          <cell r="AB511">
            <v>45095.310362010998</v>
          </cell>
          <cell r="AC511">
            <v>55786.800889502614</v>
          </cell>
        </row>
        <row r="512">
          <cell r="V512">
            <v>65129.346821550862</v>
          </cell>
          <cell r="W512">
            <v>79901.282941730067</v>
          </cell>
          <cell r="X512">
            <v>55800.925305625831</v>
          </cell>
          <cell r="Y512">
            <v>64450.292451590074</v>
          </cell>
          <cell r="AA512">
            <v>79418.892262849869</v>
          </cell>
          <cell r="AB512">
            <v>61377.182574607221</v>
          </cell>
          <cell r="AC512">
            <v>68882.469883889804</v>
          </cell>
        </row>
        <row r="513">
          <cell r="V513">
            <v>66856.974033846185</v>
          </cell>
          <cell r="W513">
            <v>71215.382486298549</v>
          </cell>
          <cell r="X513">
            <v>48908.809412476709</v>
          </cell>
          <cell r="Y513">
            <v>60185.913795392473</v>
          </cell>
          <cell r="AA513">
            <v>75210.091854456667</v>
          </cell>
          <cell r="AB513">
            <v>54203.428774221567</v>
          </cell>
          <cell r="AC513">
            <v>61135.606303963446</v>
          </cell>
        </row>
        <row r="514">
          <cell r="V514">
            <v>52501.890647389831</v>
          </cell>
          <cell r="W514">
            <v>53507.554862501143</v>
          </cell>
          <cell r="X514">
            <v>46211.844591698864</v>
          </cell>
          <cell r="Y514">
            <v>49695.426157358692</v>
          </cell>
          <cell r="AA514">
            <v>57536.276320012752</v>
          </cell>
          <cell r="AB514">
            <v>55411.549550994183</v>
          </cell>
          <cell r="AC514">
            <v>65983.39366240942</v>
          </cell>
        </row>
        <row r="515">
          <cell r="V515">
            <v>58351.46717441806</v>
          </cell>
          <cell r="W515">
            <v>40336.810472960089</v>
          </cell>
          <cell r="X515">
            <v>42708.881985678883</v>
          </cell>
          <cell r="Y515">
            <v>52250.737610332268</v>
          </cell>
          <cell r="AA515">
            <v>60649.11652759264</v>
          </cell>
          <cell r="AB515">
            <v>54590.092135038867</v>
          </cell>
          <cell r="AC515">
            <v>59781.57705425848</v>
          </cell>
        </row>
        <row r="516">
          <cell r="V516">
            <v>48301.095943786022</v>
          </cell>
          <cell r="W516">
            <v>43604.685579264915</v>
          </cell>
          <cell r="X516">
            <v>47177.573003807054</v>
          </cell>
          <cell r="Y516">
            <v>47534.903983965771</v>
          </cell>
          <cell r="AA516">
            <v>47748.795719606889</v>
          </cell>
          <cell r="AB516">
            <v>42949.240880671168</v>
          </cell>
          <cell r="AC516">
            <v>61531.718980060134</v>
          </cell>
        </row>
        <row r="517">
          <cell r="V517">
            <v>49521.20291200783</v>
          </cell>
          <cell r="W517">
            <v>37007.785802653147</v>
          </cell>
          <cell r="X517">
            <v>40439.857811154092</v>
          </cell>
          <cell r="Y517">
            <v>44850.158237865915</v>
          </cell>
          <cell r="AA517">
            <v>53115.94178627892</v>
          </cell>
          <cell r="AB517">
            <v>51155.348677475733</v>
          </cell>
          <cell r="AC517">
            <v>59649.42264386444</v>
          </cell>
        </row>
        <row r="518">
          <cell r="V518">
            <v>40272.907782802693</v>
          </cell>
          <cell r="W518">
            <v>31853.996626221142</v>
          </cell>
          <cell r="X518">
            <v>32894.42522437514</v>
          </cell>
          <cell r="Y518">
            <v>37502.871401440156</v>
          </cell>
          <cell r="AA518">
            <v>57689.835167967656</v>
          </cell>
          <cell r="AB518">
            <v>40924.522586652311</v>
          </cell>
          <cell r="AC518">
            <v>56137.72282742463</v>
          </cell>
        </row>
        <row r="519">
          <cell r="V519">
            <v>58302.623476824105</v>
          </cell>
          <cell r="W519">
            <v>88783.45970431024</v>
          </cell>
          <cell r="X519">
            <v>25338.006093362528</v>
          </cell>
          <cell r="Y519">
            <v>50171.180938244688</v>
          </cell>
          <cell r="AA519">
            <v>53235.336128081413</v>
          </cell>
          <cell r="AB519">
            <v>41119.029494177594</v>
          </cell>
          <cell r="AC519">
            <v>54580.126109196586</v>
          </cell>
        </row>
        <row r="520">
          <cell r="V520">
            <v>49520.440624453411</v>
          </cell>
          <cell r="W520">
            <v>42021.675064391122</v>
          </cell>
          <cell r="X520">
            <v>33635.950711221354</v>
          </cell>
          <cell r="Y520">
            <v>42203.912924774777</v>
          </cell>
          <cell r="Z520">
            <v>80126.491773147121</v>
          </cell>
          <cell r="AA520">
            <v>55619.537969680809</v>
          </cell>
          <cell r="AB520">
            <v>48203.644822105824</v>
          </cell>
          <cell r="AC520">
            <v>59174.839125217695</v>
          </cell>
        </row>
        <row r="521">
          <cell r="V521">
            <v>56633.771925235771</v>
          </cell>
          <cell r="W521">
            <v>48456.855624131174</v>
          </cell>
          <cell r="X521">
            <v>34955.848162125549</v>
          </cell>
          <cell r="Y521">
            <v>46436.622064887066</v>
          </cell>
          <cell r="AA521">
            <v>49725.880660125571</v>
          </cell>
          <cell r="AB521">
            <v>48273.471613682217</v>
          </cell>
          <cell r="AC521">
            <v>64751.075616798465</v>
          </cell>
        </row>
        <row r="522">
          <cell r="V522">
            <v>61835.004453495814</v>
          </cell>
          <cell r="W522">
            <v>31037.424696031263</v>
          </cell>
          <cell r="X522">
            <v>37173.442691108619</v>
          </cell>
          <cell r="Y522">
            <v>44380.744051910326</v>
          </cell>
          <cell r="AA522">
            <v>53555.879129812965</v>
          </cell>
          <cell r="AB522">
            <v>42532.562505514346</v>
          </cell>
          <cell r="AC522">
            <v>73519.83179866476</v>
          </cell>
        </row>
        <row r="523">
          <cell r="V523">
            <v>72702.927811004483</v>
          </cell>
          <cell r="W523">
            <v>90207.277469981491</v>
          </cell>
          <cell r="X523">
            <v>55094.507761582005</v>
          </cell>
          <cell r="Y523">
            <v>70422.135411611554</v>
          </cell>
          <cell r="AA523">
            <v>60049.117234252721</v>
          </cell>
          <cell r="AB523">
            <v>68497.279363677881</v>
          </cell>
          <cell r="AC523">
            <v>76040.988373138374</v>
          </cell>
        </row>
        <row r="524">
          <cell r="V524">
            <v>87836.956331916095</v>
          </cell>
          <cell r="W524">
            <v>79382.469338228228</v>
          </cell>
          <cell r="X524">
            <v>85759.967057992719</v>
          </cell>
          <cell r="Y524">
            <v>86296.18004847625</v>
          </cell>
          <cell r="AA524">
            <v>70581.980390884462</v>
          </cell>
          <cell r="AB524">
            <v>63255.742741690272</v>
          </cell>
          <cell r="AC524">
            <v>76926.910194416356</v>
          </cell>
        </row>
        <row r="525">
          <cell r="V525">
            <v>69970.137751140166</v>
          </cell>
          <cell r="W525">
            <v>68680.687401543124</v>
          </cell>
          <cell r="X525">
            <v>64319.169440719343</v>
          </cell>
          <cell r="Y525">
            <v>67158.995670551434</v>
          </cell>
          <cell r="AA525">
            <v>81090.710366782572</v>
          </cell>
          <cell r="AB525">
            <v>63075.58509348979</v>
          </cell>
          <cell r="AC525">
            <v>76349.759816133985</v>
          </cell>
        </row>
        <row r="526">
          <cell r="V526">
            <v>54086.366426396075</v>
          </cell>
          <cell r="W526">
            <v>48882.642293106488</v>
          </cell>
          <cell r="X526">
            <v>53382.072541260255</v>
          </cell>
          <cell r="Y526">
            <v>53690.814592812261</v>
          </cell>
          <cell r="AA526">
            <v>60393.718447331972</v>
          </cell>
          <cell r="AB526">
            <v>57525.84383284278</v>
          </cell>
          <cell r="AC526">
            <v>67512.435754685692</v>
          </cell>
        </row>
        <row r="527">
          <cell r="V527">
            <v>76686.003720207562</v>
          </cell>
          <cell r="W527">
            <v>70060.812144672629</v>
          </cell>
          <cell r="X527">
            <v>37195.055222477771</v>
          </cell>
          <cell r="Y527">
            <v>53053.250879819287</v>
          </cell>
          <cell r="AA527">
            <v>61224.823129724668</v>
          </cell>
          <cell r="AB527">
            <v>56263.08783346758</v>
          </cell>
          <cell r="AC527">
            <v>65734.690642641552</v>
          </cell>
        </row>
        <row r="528">
          <cell r="V528">
            <v>50609.750066757915</v>
          </cell>
          <cell r="W528">
            <v>48760.725357098891</v>
          </cell>
          <cell r="X528">
            <v>37646.37823956021</v>
          </cell>
          <cell r="Y528">
            <v>47336.178174232344</v>
          </cell>
          <cell r="AA528">
            <v>53541.1472484103</v>
          </cell>
          <cell r="AB528">
            <v>50846.144555888699</v>
          </cell>
          <cell r="AC528">
            <v>58167.778942026373</v>
          </cell>
        </row>
        <row r="529">
          <cell r="V529">
            <v>52112.497310121689</v>
          </cell>
          <cell r="W529">
            <v>34252.614251417508</v>
          </cell>
          <cell r="X529">
            <v>32668.664029388052</v>
          </cell>
          <cell r="Y529">
            <v>47799.217281823869</v>
          </cell>
          <cell r="AA529">
            <v>48918.147538943813</v>
          </cell>
          <cell r="AB529">
            <v>60747.650890193399</v>
          </cell>
          <cell r="AC529">
            <v>61461.682408901805</v>
          </cell>
        </row>
        <row r="530">
          <cell r="V530">
            <v>46288.182688593151</v>
          </cell>
          <cell r="W530">
            <v>35683.263858167971</v>
          </cell>
          <cell r="X530">
            <v>31865.175682225949</v>
          </cell>
          <cell r="Y530">
            <v>41448.094733318292</v>
          </cell>
          <cell r="AA530">
            <v>42743.092973388288</v>
          </cell>
          <cell r="AB530">
            <v>59722.473374197354</v>
          </cell>
          <cell r="AC530">
            <v>55085.297190463411</v>
          </cell>
        </row>
        <row r="531">
          <cell r="V531">
            <v>45287.859703785267</v>
          </cell>
          <cell r="W531">
            <v>38113.510335466024</v>
          </cell>
          <cell r="X531">
            <v>31404.09539660273</v>
          </cell>
          <cell r="Y531">
            <v>39255.837750920793</v>
          </cell>
          <cell r="AA531">
            <v>46474.611267303568</v>
          </cell>
          <cell r="AB531">
            <v>42187.639921735397</v>
          </cell>
          <cell r="AC531">
            <v>50779.456284273772</v>
          </cell>
        </row>
        <row r="532">
          <cell r="V532">
            <v>42117.254386733657</v>
          </cell>
          <cell r="W532">
            <v>31205.35416830883</v>
          </cell>
          <cell r="X532">
            <v>35360.257857406301</v>
          </cell>
          <cell r="Y532">
            <v>39460.549156015906</v>
          </cell>
          <cell r="AA532">
            <v>51105.22377364651</v>
          </cell>
          <cell r="AB532">
            <v>36204.132702756317</v>
          </cell>
          <cell r="AC532">
            <v>47126.567180208949</v>
          </cell>
        </row>
        <row r="533">
          <cell r="V533">
            <v>44425.609482227381</v>
          </cell>
          <cell r="W533">
            <v>34201.483721943499</v>
          </cell>
          <cell r="X533">
            <v>28095.516871693606</v>
          </cell>
          <cell r="Y533">
            <v>36942.299359009849</v>
          </cell>
          <cell r="AA533">
            <v>34388.98513413778</v>
          </cell>
          <cell r="AB533">
            <v>34313.843509169878</v>
          </cell>
          <cell r="AC533">
            <v>55687.883252446889</v>
          </cell>
        </row>
        <row r="534">
          <cell r="V534">
            <v>47789.792944207758</v>
          </cell>
          <cell r="W534">
            <v>47430.001527696892</v>
          </cell>
          <cell r="X534">
            <v>28011.473584361051</v>
          </cell>
          <cell r="Y534">
            <v>41025.008182610065</v>
          </cell>
          <cell r="AA534">
            <v>51271.147534925192</v>
          </cell>
          <cell r="AB534">
            <v>37805.992513367019</v>
          </cell>
          <cell r="AC534">
            <v>53114.325684079638</v>
          </cell>
        </row>
        <row r="535">
          <cell r="V535">
            <v>50537.603131557851</v>
          </cell>
          <cell r="W535">
            <v>41499.218845563933</v>
          </cell>
          <cell r="X535">
            <v>30767.743183686143</v>
          </cell>
          <cell r="Y535">
            <v>41654.731208415651</v>
          </cell>
          <cell r="AA535">
            <v>62520.546722605744</v>
          </cell>
          <cell r="AB535">
            <v>33777.011751431579</v>
          </cell>
          <cell r="AC535">
            <v>55265.150176991003</v>
          </cell>
        </row>
        <row r="536">
          <cell r="V536">
            <v>49522.710241660119</v>
          </cell>
          <cell r="W536">
            <v>42369.493958249848</v>
          </cell>
          <cell r="X536">
            <v>32428.287744287816</v>
          </cell>
          <cell r="Y536">
            <v>42226.40105897875</v>
          </cell>
          <cell r="AA536">
            <v>60143.108350535309</v>
          </cell>
          <cell r="AB536">
            <v>32719.672351132995</v>
          </cell>
          <cell r="AC536">
            <v>48855.834098731924</v>
          </cell>
        </row>
        <row r="537">
          <cell r="V537">
            <v>48858.903318463337</v>
          </cell>
          <cell r="W537">
            <v>44046.413498368849</v>
          </cell>
          <cell r="X537">
            <v>26719.883543965232</v>
          </cell>
          <cell r="Y537">
            <v>40388.308813026204</v>
          </cell>
          <cell r="AA537">
            <v>36728.807642862019</v>
          </cell>
          <cell r="AB537">
            <v>32792.383532586296</v>
          </cell>
          <cell r="AC537">
            <v>48330.130688445206</v>
          </cell>
        </row>
        <row r="538">
          <cell r="V538">
            <v>55363.585026266672</v>
          </cell>
          <cell r="W538">
            <v>39169.618508022206</v>
          </cell>
          <cell r="X538">
            <v>34437.269666559361</v>
          </cell>
          <cell r="Y538">
            <v>47671.761650396118</v>
          </cell>
          <cell r="AA538">
            <v>35666.607562635028</v>
          </cell>
          <cell r="AB538">
            <v>32236.231271914377</v>
          </cell>
          <cell r="AC538">
            <v>48903.086218147109</v>
          </cell>
        </row>
        <row r="539">
          <cell r="V539">
            <v>40455.908280013988</v>
          </cell>
          <cell r="W539">
            <v>19217.216288485113</v>
          </cell>
          <cell r="X539">
            <v>30782.368725979224</v>
          </cell>
          <cell r="Y539">
            <v>36551.054783065651</v>
          </cell>
          <cell r="AA539">
            <v>45483.086839141528</v>
          </cell>
          <cell r="AB539">
            <v>33220.106657338343</v>
          </cell>
          <cell r="AC539">
            <v>45403.263545338334</v>
          </cell>
        </row>
        <row r="540">
          <cell r="V540">
            <v>44523.871176946624</v>
          </cell>
          <cell r="W540">
            <v>28504.350869289981</v>
          </cell>
          <cell r="X540">
            <v>26675.949357907193</v>
          </cell>
          <cell r="Y540">
            <v>36953.351048719858</v>
          </cell>
          <cell r="AA540">
            <v>38394.151337312403</v>
          </cell>
          <cell r="AB540">
            <v>33762.398327579744</v>
          </cell>
          <cell r="AC540">
            <v>46358.700291233734</v>
          </cell>
        </row>
        <row r="541">
          <cell r="V541">
            <v>34544.997228185595</v>
          </cell>
          <cell r="W541">
            <v>25697.796720926715</v>
          </cell>
          <cell r="X541">
            <v>24859.575739781118</v>
          </cell>
          <cell r="Y541">
            <v>31237.626294384634</v>
          </cell>
          <cell r="AA541">
            <v>33465.570356408309</v>
          </cell>
          <cell r="AB541">
            <v>36467.051654492156</v>
          </cell>
          <cell r="AC541">
            <v>40143.073493452794</v>
          </cell>
        </row>
        <row r="542">
          <cell r="V542">
            <v>44746.938828799997</v>
          </cell>
          <cell r="W542">
            <v>30630.152417280002</v>
          </cell>
          <cell r="X542">
            <v>29812.296284159995</v>
          </cell>
          <cell r="Y542">
            <v>37807.860346879999</v>
          </cell>
          <cell r="AA542">
            <v>37788.625704959995</v>
          </cell>
          <cell r="AB542">
            <v>30365.35796736</v>
          </cell>
          <cell r="AC542">
            <v>42267.489372159995</v>
          </cell>
        </row>
        <row r="543">
          <cell r="V543">
            <v>39375.375129999993</v>
          </cell>
          <cell r="W543">
            <v>37953.288229999991</v>
          </cell>
          <cell r="X543">
            <v>28048.489429999998</v>
          </cell>
          <cell r="Y543">
            <v>37328.687369999992</v>
          </cell>
          <cell r="AA543">
            <v>38198.679609999999</v>
          </cell>
          <cell r="AB543">
            <v>29165.526519999996</v>
          </cell>
          <cell r="AC543">
            <v>39120.80236999999</v>
          </cell>
        </row>
        <row r="545">
          <cell r="V545">
            <v>32393.493621197256</v>
          </cell>
          <cell r="W545">
            <v>30817.203140333662</v>
          </cell>
          <cell r="X545">
            <v>25221.844946025518</v>
          </cell>
          <cell r="Y545">
            <v>30232.129538763496</v>
          </cell>
          <cell r="Z545">
            <v>43182.56133464181</v>
          </cell>
          <cell r="AA545">
            <v>32344.131501472031</v>
          </cell>
          <cell r="AB545">
            <v>28102.325809617276</v>
          </cell>
          <cell r="AC545">
            <v>39067.095191364089</v>
          </cell>
        </row>
        <row r="546">
          <cell r="V546">
            <v>33788.650407875371</v>
          </cell>
          <cell r="W546">
            <v>31099.049696393526</v>
          </cell>
          <cell r="X546">
            <v>25378.08014904318</v>
          </cell>
          <cell r="Y546">
            <v>30292.872914622181</v>
          </cell>
          <cell r="Z546">
            <v>43867.781679342501</v>
          </cell>
          <cell r="AA546">
            <v>34952.523153827286</v>
          </cell>
          <cell r="AB546">
            <v>25404.990723135434</v>
          </cell>
          <cell r="AC546">
            <v>39834.98106292935</v>
          </cell>
        </row>
        <row r="547">
          <cell r="V547">
            <v>37168.397393827792</v>
          </cell>
          <cell r="W547">
            <v>24430.443233576516</v>
          </cell>
          <cell r="X547">
            <v>24261.053972237234</v>
          </cell>
          <cell r="Y547">
            <v>29514.20967504588</v>
          </cell>
          <cell r="Z547">
            <v>40434.091861076391</v>
          </cell>
          <cell r="AA547">
            <v>26373.461621311766</v>
          </cell>
          <cell r="AB547">
            <v>24917.068851181462</v>
          </cell>
          <cell r="AC547">
            <v>37122.50361501766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400225</v>
          </cell>
          <cell r="D417">
            <v>247512</v>
          </cell>
          <cell r="I417">
            <v>669091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264764</v>
          </cell>
          <cell r="E417">
            <v>51208</v>
          </cell>
          <cell r="F417">
            <v>211874</v>
          </cell>
          <cell r="H417">
            <v>13368</v>
          </cell>
          <cell r="I417">
            <v>3118</v>
          </cell>
          <cell r="K417">
            <v>189336</v>
          </cell>
          <cell r="L417">
            <v>479756</v>
          </cell>
          <cell r="N417">
            <v>669091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447818</v>
          </cell>
          <cell r="J224">
            <v>669091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37">
          <cell r="Z437">
            <v>36368.776897951968</v>
          </cell>
        </row>
        <row r="438">
          <cell r="Z438">
            <v>34587.683908913175</v>
          </cell>
        </row>
        <row r="439">
          <cell r="Z439">
            <v>42190.456442581686</v>
          </cell>
        </row>
        <row r="440">
          <cell r="Z440">
            <v>48385.003655021654</v>
          </cell>
        </row>
        <row r="441">
          <cell r="Z441">
            <v>54508.63358950839</v>
          </cell>
        </row>
        <row r="442">
          <cell r="Z442">
            <v>59208.238001728831</v>
          </cell>
        </row>
        <row r="443">
          <cell r="Z443">
            <v>61327.659591925367</v>
          </cell>
        </row>
        <row r="444">
          <cell r="Z444">
            <v>62174.744995492903</v>
          </cell>
        </row>
        <row r="445">
          <cell r="Z445">
            <v>71616.797088044521</v>
          </cell>
        </row>
        <row r="446">
          <cell r="Z446">
            <v>71966.14933204696</v>
          </cell>
        </row>
        <row r="447">
          <cell r="Z447">
            <v>89400.998159755938</v>
          </cell>
        </row>
        <row r="448">
          <cell r="Z448">
            <v>93587.198452095894</v>
          </cell>
        </row>
        <row r="449">
          <cell r="Z449">
            <v>87739.148938989572</v>
          </cell>
        </row>
        <row r="450">
          <cell r="Z450">
            <v>86002.574398530356</v>
          </cell>
        </row>
        <row r="451">
          <cell r="Z451">
            <v>85889.587549221498</v>
          </cell>
        </row>
        <row r="452">
          <cell r="Z452">
            <v>75599.66142666417</v>
          </cell>
        </row>
        <row r="453">
          <cell r="Z453">
            <v>77625.931659864305</v>
          </cell>
        </row>
        <row r="454">
          <cell r="Z454">
            <v>80839.910921688104</v>
          </cell>
        </row>
        <row r="455">
          <cell r="Z455">
            <v>76348.432527390527</v>
          </cell>
        </row>
        <row r="456">
          <cell r="Z456">
            <v>78954.438008738274</v>
          </cell>
        </row>
        <row r="457">
          <cell r="Z457">
            <v>79214.194862322198</v>
          </cell>
        </row>
        <row r="458">
          <cell r="Z458">
            <v>91109.569988123636</v>
          </cell>
        </row>
        <row r="459">
          <cell r="Z459">
            <v>92754.507347998166</v>
          </cell>
        </row>
        <row r="460">
          <cell r="Z460">
            <v>75704.568366060776</v>
          </cell>
        </row>
        <row r="461">
          <cell r="Z461">
            <v>72616.204367964558</v>
          </cell>
        </row>
        <row r="462">
          <cell r="Z462">
            <v>67746.434350960772</v>
          </cell>
        </row>
        <row r="463">
          <cell r="Z463">
            <v>59284.344155706865</v>
          </cell>
        </row>
        <row r="464">
          <cell r="Z464">
            <v>62206.378685979762</v>
          </cell>
        </row>
        <row r="465">
          <cell r="Z465">
            <v>56299.85260628687</v>
          </cell>
        </row>
        <row r="466">
          <cell r="Z466">
            <v>59282.734433298603</v>
          </cell>
        </row>
        <row r="467">
          <cell r="Z467">
            <v>55640.306800373895</v>
          </cell>
        </row>
        <row r="468">
          <cell r="Z468">
            <v>53284.565453897267</v>
          </cell>
        </row>
        <row r="469">
          <cell r="Z469">
            <v>46219.203513607834</v>
          </cell>
        </row>
        <row r="470">
          <cell r="Z470">
            <v>44948.912360689152</v>
          </cell>
        </row>
        <row r="471">
          <cell r="Z471">
            <v>45409.687790729993</v>
          </cell>
        </row>
        <row r="472">
          <cell r="Z472">
            <v>39566.294632981298</v>
          </cell>
        </row>
        <row r="473">
          <cell r="Z473">
            <v>41128.232774026241</v>
          </cell>
        </row>
        <row r="474">
          <cell r="Z474">
            <v>38335.416257295008</v>
          </cell>
        </row>
        <row r="475">
          <cell r="Z475">
            <v>31693.685355294823</v>
          </cell>
        </row>
        <row r="476">
          <cell r="Z476">
            <v>30185.227048366949</v>
          </cell>
        </row>
        <row r="477">
          <cell r="Z477">
            <v>26923.512146442201</v>
          </cell>
        </row>
        <row r="478">
          <cell r="Z478">
            <v>33758.537333618813</v>
          </cell>
        </row>
        <row r="479">
          <cell r="Z479">
            <v>32284.021065773624</v>
          </cell>
        </row>
        <row r="480">
          <cell r="Z480">
            <v>31107.957531315915</v>
          </cell>
        </row>
        <row r="481">
          <cell r="Z481">
            <v>26660.321303333036</v>
          </cell>
        </row>
        <row r="482">
          <cell r="Z482">
            <v>33009.656015455388</v>
          </cell>
        </row>
        <row r="483">
          <cell r="Z483">
            <v>29645.477970568074</v>
          </cell>
        </row>
        <row r="484">
          <cell r="Z484">
            <v>25209.133438208577</v>
          </cell>
        </row>
        <row r="485">
          <cell r="Z485">
            <v>24769.653483266833</v>
          </cell>
        </row>
        <row r="486">
          <cell r="Z486">
            <v>26691.533273068791</v>
          </cell>
        </row>
        <row r="487">
          <cell r="Z487">
            <v>26478.508527303115</v>
          </cell>
        </row>
        <row r="488">
          <cell r="Z488">
            <v>31299.361921410189</v>
          </cell>
        </row>
        <row r="489">
          <cell r="Z489">
            <v>30852.626751284344</v>
          </cell>
        </row>
        <row r="490">
          <cell r="Z490">
            <v>33311.829599733835</v>
          </cell>
        </row>
        <row r="491">
          <cell r="Z491">
            <v>32021.229716205518</v>
          </cell>
        </row>
        <row r="492">
          <cell r="Z492">
            <v>36835.414436072693</v>
          </cell>
        </row>
        <row r="493">
          <cell r="Z493">
            <v>34857.395388348246</v>
          </cell>
        </row>
        <row r="494">
          <cell r="Z494">
            <v>38323.120376957435</v>
          </cell>
        </row>
        <row r="495">
          <cell r="Z495">
            <v>40468.700367175174</v>
          </cell>
        </row>
        <row r="496">
          <cell r="Z496">
            <v>41625.757482150701</v>
          </cell>
        </row>
        <row r="497">
          <cell r="Z497">
            <v>43652.48604081446</v>
          </cell>
        </row>
        <row r="498">
          <cell r="Z498">
            <v>41902.288728669046</v>
          </cell>
        </row>
        <row r="499">
          <cell r="Z499">
            <v>54189.635565385193</v>
          </cell>
        </row>
        <row r="500">
          <cell r="Z500">
            <v>63146.984088423604</v>
          </cell>
        </row>
        <row r="501">
          <cell r="Z501">
            <v>65573.494071847672</v>
          </cell>
        </row>
        <row r="502">
          <cell r="Z502">
            <v>59539.155019051963</v>
          </cell>
        </row>
        <row r="503">
          <cell r="Z503">
            <v>60876.26613182648</v>
          </cell>
        </row>
        <row r="504">
          <cell r="Z504">
            <v>59139.753876315677</v>
          </cell>
        </row>
        <row r="505">
          <cell r="Z505">
            <v>55341.815972085271</v>
          </cell>
        </row>
        <row r="506">
          <cell r="Z506">
            <v>58142.784439427654</v>
          </cell>
        </row>
        <row r="507">
          <cell r="Z507">
            <v>54870.068518496191</v>
          </cell>
        </row>
        <row r="508">
          <cell r="Z508">
            <v>47001.822655898934</v>
          </cell>
        </row>
        <row r="509">
          <cell r="Z509">
            <v>54301.267965490173</v>
          </cell>
        </row>
        <row r="510">
          <cell r="Z510">
            <v>58015.940866579149</v>
          </cell>
        </row>
        <row r="511">
          <cell r="Z511">
            <v>60135.399449144417</v>
          </cell>
        </row>
        <row r="512">
          <cell r="Z512">
            <v>73262.551679711527</v>
          </cell>
        </row>
        <row r="513">
          <cell r="Z513">
            <v>63668.221025560815</v>
          </cell>
        </row>
        <row r="514">
          <cell r="Z514">
            <v>72039.038228314224</v>
          </cell>
        </row>
        <row r="515">
          <cell r="Z515">
            <v>67806.137418929065</v>
          </cell>
        </row>
        <row r="516">
          <cell r="Z516">
            <v>70918.795381288932</v>
          </cell>
        </row>
        <row r="517">
          <cell r="Z517">
            <v>65301.957027902608</v>
          </cell>
        </row>
        <row r="518">
          <cell r="Z518">
            <v>63152.234967165401</v>
          </cell>
        </row>
        <row r="519">
          <cell r="Z519">
            <v>65286.372083398339</v>
          </cell>
        </row>
        <row r="521">
          <cell r="Z521">
            <v>81584.626447458606</v>
          </cell>
        </row>
        <row r="522">
          <cell r="Z522">
            <v>91247.754494292312</v>
          </cell>
        </row>
        <row r="523">
          <cell r="Z523">
            <v>79239.061432583025</v>
          </cell>
        </row>
        <row r="524">
          <cell r="Z524">
            <v>98824.537777097546</v>
          </cell>
        </row>
        <row r="525">
          <cell r="Z525">
            <v>80198.208551723001</v>
          </cell>
        </row>
        <row r="526">
          <cell r="Z526">
            <v>74365.905953144436</v>
          </cell>
        </row>
        <row r="527">
          <cell r="Z527">
            <v>80448.518855054121</v>
          </cell>
        </row>
        <row r="528">
          <cell r="Z528">
            <v>73054.074664788626</v>
          </cell>
        </row>
        <row r="529">
          <cell r="Z529">
            <v>72134.805128349733</v>
          </cell>
        </row>
        <row r="530">
          <cell r="Z530">
            <v>63523.271441791396</v>
          </cell>
        </row>
        <row r="531">
          <cell r="Z531">
            <v>63901.112424769504</v>
          </cell>
        </row>
        <row r="532">
          <cell r="Z532">
            <v>63048.129153070659</v>
          </cell>
        </row>
        <row r="533">
          <cell r="Z533">
            <v>64828.631350798823</v>
          </cell>
        </row>
        <row r="534">
          <cell r="Z534">
            <v>62394.199584379923</v>
          </cell>
        </row>
        <row r="535">
          <cell r="Z535">
            <v>64492.077910773682</v>
          </cell>
        </row>
        <row r="536">
          <cell r="Z536">
            <v>59014.794978026432</v>
          </cell>
        </row>
        <row r="537">
          <cell r="Z537">
            <v>56654.322803318639</v>
          </cell>
        </row>
        <row r="538">
          <cell r="Z538">
            <v>57102.322499290742</v>
          </cell>
        </row>
        <row r="539">
          <cell r="Z539">
            <v>53923.005318697411</v>
          </cell>
        </row>
        <row r="540">
          <cell r="Z540">
            <v>54002.863981084243</v>
          </cell>
        </row>
        <row r="541">
          <cell r="Z541">
            <v>49234.633615431674</v>
          </cell>
        </row>
        <row r="542">
          <cell r="Z542">
            <v>48939.691141119998</v>
          </cell>
        </row>
        <row r="543">
          <cell r="Z543">
            <v>44958.177940000001</v>
          </cell>
        </row>
        <row r="544">
          <cell r="V544">
            <v>26138.989999999998</v>
          </cell>
          <cell r="W544">
            <v>38946.120000000003</v>
          </cell>
          <cell r="X544">
            <v>26381.040000000005</v>
          </cell>
          <cell r="Y544">
            <v>33518.620000000003</v>
          </cell>
          <cell r="Z544">
            <v>44774.559999999998</v>
          </cell>
          <cell r="AA544">
            <v>30499.309999999998</v>
          </cell>
          <cell r="AB544">
            <v>28080.620000000003</v>
          </cell>
          <cell r="AC544">
            <v>37528.51</v>
          </cell>
        </row>
        <row r="548">
          <cell r="V548">
            <v>33496.839495587541</v>
          </cell>
          <cell r="W548">
            <v>24789.122981537974</v>
          </cell>
          <cell r="X548">
            <v>21434.899141600301</v>
          </cell>
          <cell r="Y548">
            <v>29163.194988101368</v>
          </cell>
          <cell r="Z548">
            <v>39278.286509497499</v>
          </cell>
          <cell r="AA548">
            <v>27217.442921106744</v>
          </cell>
          <cell r="AC548">
            <v>36648.557254979649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218248</v>
          </cell>
        </row>
        <row r="412">
          <cell r="B412">
            <v>166924</v>
          </cell>
        </row>
        <row r="413">
          <cell r="B413">
            <v>121046</v>
          </cell>
        </row>
        <row r="414">
          <cell r="B414">
            <v>139244</v>
          </cell>
        </row>
        <row r="415">
          <cell r="B415">
            <v>147433</v>
          </cell>
        </row>
        <row r="416">
          <cell r="B416">
            <v>179559</v>
          </cell>
        </row>
        <row r="417">
          <cell r="B417">
            <v>263082</v>
          </cell>
        </row>
        <row r="418">
          <cell r="B418">
            <v>159318</v>
          </cell>
        </row>
        <row r="419">
          <cell r="B419">
            <v>218441</v>
          </cell>
        </row>
        <row r="420">
          <cell r="B420">
            <v>232133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206330</v>
          </cell>
        </row>
        <row r="424">
          <cell r="B424">
            <v>151659</v>
          </cell>
        </row>
        <row r="425">
          <cell r="B425">
            <v>145138</v>
          </cell>
        </row>
        <row r="426">
          <cell r="B426">
            <v>132531</v>
          </cell>
        </row>
        <row r="427">
          <cell r="B427">
            <v>168946</v>
          </cell>
        </row>
        <row r="428">
          <cell r="B428">
            <v>209985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5439.2277701774728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E2" sqref="E2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02" t="s">
        <v>191</v>
      </c>
      <c r="C1" s="303"/>
      <c r="D1" s="303"/>
      <c r="E1" s="304" t="s">
        <v>310</v>
      </c>
      <c r="F1" s="305"/>
    </row>
    <row r="2" spans="2:6" ht="15" customHeight="1" x14ac:dyDescent="0.25"/>
    <row r="3" spans="2:6" ht="18" customHeight="1" x14ac:dyDescent="0.3">
      <c r="B3" s="301" t="s">
        <v>188</v>
      </c>
      <c r="C3" s="30" t="s">
        <v>155</v>
      </c>
    </row>
    <row r="4" spans="2:6" ht="18" customHeight="1" x14ac:dyDescent="0.3">
      <c r="B4" s="301"/>
      <c r="C4" s="31"/>
    </row>
    <row r="5" spans="2:6" ht="18" customHeight="1" x14ac:dyDescent="0.25">
      <c r="B5" s="301"/>
      <c r="C5" s="176" t="s">
        <v>189</v>
      </c>
    </row>
    <row r="6" spans="2:6" ht="18" customHeight="1" x14ac:dyDescent="0.25">
      <c r="B6" s="301"/>
      <c r="C6" s="176" t="s">
        <v>190</v>
      </c>
    </row>
    <row r="7" spans="2:6" ht="18" customHeight="1" x14ac:dyDescent="0.25">
      <c r="B7" s="301"/>
      <c r="C7" s="176" t="s">
        <v>217</v>
      </c>
    </row>
    <row r="8" spans="2:6" ht="18" customHeight="1" x14ac:dyDescent="0.25">
      <c r="B8" s="301"/>
      <c r="C8" s="176" t="s">
        <v>205</v>
      </c>
    </row>
    <row r="9" spans="2:6" ht="18" customHeight="1" x14ac:dyDescent="0.25">
      <c r="B9" s="301"/>
      <c r="C9" s="32"/>
    </row>
    <row r="10" spans="2:6" ht="18" customHeight="1" x14ac:dyDescent="0.25">
      <c r="B10" s="301"/>
      <c r="C10" s="33" t="s">
        <v>224</v>
      </c>
    </row>
    <row r="11" spans="2:6" ht="18" customHeight="1" x14ac:dyDescent="0.25">
      <c r="B11" s="301"/>
      <c r="C11" s="33" t="s">
        <v>225</v>
      </c>
    </row>
    <row r="12" spans="2:6" ht="18" customHeight="1" x14ac:dyDescent="0.25">
      <c r="B12" s="301"/>
      <c r="C12" s="33" t="s">
        <v>226</v>
      </c>
    </row>
    <row r="13" spans="2:6" ht="18" customHeight="1" x14ac:dyDescent="0.25">
      <c r="B13" s="301"/>
      <c r="C13" s="33" t="s">
        <v>227</v>
      </c>
    </row>
    <row r="14" spans="2:6" ht="18" customHeight="1" x14ac:dyDescent="0.25">
      <c r="B14" s="301"/>
      <c r="C14" s="33" t="s">
        <v>156</v>
      </c>
    </row>
    <row r="15" spans="2:6" ht="18" customHeight="1" x14ac:dyDescent="0.25">
      <c r="B15" s="301"/>
      <c r="C15" s="33" t="s">
        <v>157</v>
      </c>
    </row>
    <row r="16" spans="2:6" ht="18" customHeight="1" x14ac:dyDescent="0.25">
      <c r="B16" s="301"/>
      <c r="C16" s="33" t="s">
        <v>158</v>
      </c>
    </row>
    <row r="17" spans="2:3" ht="18" customHeight="1" x14ac:dyDescent="0.25">
      <c r="B17" s="301"/>
      <c r="C17" s="33" t="s">
        <v>159</v>
      </c>
    </row>
    <row r="18" spans="2:3" ht="18" customHeight="1" x14ac:dyDescent="0.25">
      <c r="B18" s="301"/>
      <c r="C18" s="33" t="s">
        <v>216</v>
      </c>
    </row>
    <row r="19" spans="2:3" ht="18" customHeight="1" x14ac:dyDescent="0.25">
      <c r="B19" s="301"/>
      <c r="C19" s="33" t="s">
        <v>204</v>
      </c>
    </row>
    <row r="20" spans="2:3" ht="18" customHeight="1" x14ac:dyDescent="0.25">
      <c r="B20" s="301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33"/>
  <sheetViews>
    <sheetView workbookViewId="0">
      <selection activeCell="K10" sqref="K10:L10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24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25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26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27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2">+SUM(C7)+SUM(B8:B18)</f>
        <v>38.896696999999996</v>
      </c>
      <c r="Q7" s="6">
        <f t="shared" si="2"/>
        <v>25.413</v>
      </c>
      <c r="R7" s="6">
        <f t="shared" si="2"/>
        <v>87.634199999999993</v>
      </c>
      <c r="S7" s="6">
        <f t="shared" si="2"/>
        <v>111.8021</v>
      </c>
      <c r="T7" s="6">
        <f t="shared" si="2"/>
        <v>116.15530000000001</v>
      </c>
      <c r="U7" s="6">
        <f t="shared" si="2"/>
        <v>68.393699999999995</v>
      </c>
      <c r="V7" s="6">
        <f t="shared" si="2"/>
        <v>32.4925</v>
      </c>
      <c r="W7" s="67">
        <f t="shared" si="2"/>
        <v>17.651999999999997</v>
      </c>
      <c r="X7" s="37">
        <f t="shared" si="2"/>
        <v>22.507999999999999</v>
      </c>
      <c r="Y7" s="78">
        <f>+X7/W7-1</f>
        <v>0.27509630636755045</v>
      </c>
      <c r="Z7" s="7">
        <f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>+K8/J8-1</f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3">+SUM(C7:C8)+SUM(B9:B18)</f>
        <v>37.235726</v>
      </c>
      <c r="Q8" s="6">
        <f t="shared" si="3"/>
        <v>25.522199999999998</v>
      </c>
      <c r="R8" s="6">
        <f t="shared" si="3"/>
        <v>91.162499999999994</v>
      </c>
      <c r="S8" s="6">
        <f t="shared" si="3"/>
        <v>130.6491</v>
      </c>
      <c r="T8" s="6">
        <f t="shared" si="3"/>
        <v>97.969200000000001</v>
      </c>
      <c r="U8" s="6">
        <f t="shared" si="3"/>
        <v>65.856300000000005</v>
      </c>
      <c r="V8" s="6">
        <f t="shared" si="3"/>
        <v>30.917000000000005</v>
      </c>
      <c r="W8" s="67">
        <f t="shared" si="3"/>
        <v>17.140900000000002</v>
      </c>
      <c r="X8" s="37">
        <f t="shared" si="3"/>
        <v>23.027699999999999</v>
      </c>
      <c r="Y8" s="78">
        <f>+X8/W8-1</f>
        <v>0.34343587559579691</v>
      </c>
      <c r="Z8" s="7">
        <f>+POWER(X8/S8,0.2)-1</f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>+K9/J9-1</f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4">+SUM(C7:C9)+SUM(B10:B18)</f>
        <v>36.277333999999996</v>
      </c>
      <c r="Q9" s="6">
        <f t="shared" si="4"/>
        <v>26.173999999999999</v>
      </c>
      <c r="R9" s="6">
        <f t="shared" si="4"/>
        <v>94.4619</v>
      </c>
      <c r="S9" s="6">
        <f t="shared" si="4"/>
        <v>137.66309999999999</v>
      </c>
      <c r="T9" s="6">
        <f t="shared" si="4"/>
        <v>92.246800000000007</v>
      </c>
      <c r="U9" s="6">
        <f t="shared" si="4"/>
        <v>62.313400000000001</v>
      </c>
      <c r="V9" s="6">
        <f t="shared" si="4"/>
        <v>28.553800000000003</v>
      </c>
      <c r="W9" s="67">
        <f t="shared" si="4"/>
        <v>17.417000000000002</v>
      </c>
      <c r="X9" s="37">
        <f t="shared" si="4"/>
        <v>22.628599999999999</v>
      </c>
      <c r="Y9" s="78">
        <f>+X9/W9-1</f>
        <v>0.29922489521731621</v>
      </c>
      <c r="Z9" s="7">
        <f>+POWER(X9/S9,0.2)-1</f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>+K10/J10-1</f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5">+SUM(C7:C10)+SUM(B11:B18)</f>
        <v>34.815155000000004</v>
      </c>
      <c r="Q10" s="6">
        <f t="shared" si="5"/>
        <v>27.603200000000001</v>
      </c>
      <c r="R10" s="6">
        <f t="shared" si="5"/>
        <v>95.467399999999984</v>
      </c>
      <c r="S10" s="6">
        <f t="shared" si="5"/>
        <v>142.45920000000001</v>
      </c>
      <c r="T10" s="6">
        <f t="shared" si="5"/>
        <v>92.659900000000007</v>
      </c>
      <c r="U10" s="6">
        <f t="shared" si="5"/>
        <v>55.756700000000002</v>
      </c>
      <c r="V10" s="6">
        <f t="shared" si="5"/>
        <v>26.323400000000003</v>
      </c>
      <c r="W10" s="67">
        <f t="shared" si="5"/>
        <v>18.6343</v>
      </c>
      <c r="X10" s="37">
        <f t="shared" si="5"/>
        <v>22.223700000000001</v>
      </c>
      <c r="Y10" s="78">
        <f>+X10/W10-1</f>
        <v>0.19262328072425583</v>
      </c>
      <c r="Z10" s="7">
        <f>+POWER(X10/S10,0.2)-1</f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/>
      <c r="L11" s="7"/>
      <c r="M11" s="2"/>
      <c r="N11" s="42" t="s">
        <v>2</v>
      </c>
      <c r="O11" s="6">
        <f>+SUM('[3]3.EXPORTACION POR TIPO'!B310:B321)/10000</f>
        <v>36.695392999999996</v>
      </c>
      <c r="P11" s="6">
        <f t="shared" ref="P11:W11" si="6">+SUM(C7:C11)+SUM(B12:B18)</f>
        <v>31.724418</v>
      </c>
      <c r="Q11" s="6">
        <f t="shared" si="6"/>
        <v>29.229599999999998</v>
      </c>
      <c r="R11" s="6">
        <f t="shared" si="6"/>
        <v>96.700199999999995</v>
      </c>
      <c r="S11" s="6">
        <f t="shared" si="6"/>
        <v>147.9699</v>
      </c>
      <c r="T11" s="6">
        <f t="shared" si="6"/>
        <v>90.572800000000001</v>
      </c>
      <c r="U11" s="6">
        <f t="shared" si="6"/>
        <v>51.498900000000006</v>
      </c>
      <c r="V11" s="6">
        <f t="shared" si="6"/>
        <v>23.3843</v>
      </c>
      <c r="W11" s="67">
        <f t="shared" si="6"/>
        <v>19.765000000000001</v>
      </c>
      <c r="X11" s="37"/>
      <c r="Y11" s="78"/>
      <c r="Z11" s="7"/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/>
      <c r="L12" s="7"/>
      <c r="M12" s="2"/>
      <c r="N12" s="42" t="s">
        <v>3</v>
      </c>
      <c r="O12" s="6">
        <f>+SUM('[3]3.EXPORTACION POR TIPO'!B311:B322)/10000</f>
        <v>35.844869999999993</v>
      </c>
      <c r="P12" s="6">
        <f t="shared" ref="P12:W12" si="7">+SUM(C7:C12)+SUM(B13:B18)</f>
        <v>31.012794</v>
      </c>
      <c r="Q12" s="6">
        <f t="shared" si="7"/>
        <v>28.909299999999998</v>
      </c>
      <c r="R12" s="6">
        <f t="shared" si="7"/>
        <v>100.8105</v>
      </c>
      <c r="S12" s="6">
        <f t="shared" si="7"/>
        <v>149.9915</v>
      </c>
      <c r="T12" s="6">
        <f t="shared" si="7"/>
        <v>90.272999999999996</v>
      </c>
      <c r="U12" s="6">
        <f t="shared" si="7"/>
        <v>46.845299999999995</v>
      </c>
      <c r="V12" s="6">
        <f t="shared" si="7"/>
        <v>20.9209</v>
      </c>
      <c r="W12" s="67">
        <f t="shared" si="7"/>
        <v>19.935600000000001</v>
      </c>
      <c r="X12" s="37"/>
      <c r="Y12" s="78"/>
      <c r="Z12" s="7"/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/>
      <c r="L13" s="7"/>
      <c r="M13" s="2"/>
      <c r="N13" s="42" t="s">
        <v>4</v>
      </c>
      <c r="O13" s="6">
        <f>+SUM('[3]3.EXPORTACION POR TIPO'!B312:B323)/10000</f>
        <v>36.933148000000003</v>
      </c>
      <c r="P13" s="6">
        <f t="shared" ref="P13:W13" si="8">+SUM(C7:C13)+SUM(B14:B18)</f>
        <v>29.798298000000003</v>
      </c>
      <c r="Q13" s="6">
        <f t="shared" si="8"/>
        <v>31.7897</v>
      </c>
      <c r="R13" s="6">
        <f t="shared" si="8"/>
        <v>102.92949999999999</v>
      </c>
      <c r="S13" s="6">
        <f t="shared" si="8"/>
        <v>151.09559999999999</v>
      </c>
      <c r="T13" s="6">
        <f t="shared" si="8"/>
        <v>86.525800000000004</v>
      </c>
      <c r="U13" s="6">
        <f t="shared" si="8"/>
        <v>44.654899999999998</v>
      </c>
      <c r="V13" s="6">
        <f t="shared" si="8"/>
        <v>20.158999999999999</v>
      </c>
      <c r="W13" s="67">
        <f t="shared" si="8"/>
        <v>21.061199999999999</v>
      </c>
      <c r="X13" s="37"/>
      <c r="Y13" s="78"/>
      <c r="Z13" s="7"/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/>
      <c r="L14" s="7"/>
      <c r="M14" s="2"/>
      <c r="N14" s="42" t="s">
        <v>5</v>
      </c>
      <c r="O14" s="6">
        <f>+SUM('[3]3.EXPORTACION POR TIPO'!B313:B324)/10000</f>
        <v>38.841259000000001</v>
      </c>
      <c r="P14" s="6">
        <f t="shared" ref="P14:W14" si="9">+SUM(C7:C14)+SUM(B15:B18)</f>
        <v>28.302367000000004</v>
      </c>
      <c r="Q14" s="6">
        <f t="shared" si="9"/>
        <v>44.820099999999996</v>
      </c>
      <c r="R14" s="6">
        <f t="shared" si="9"/>
        <v>95.332999999999998</v>
      </c>
      <c r="S14" s="6">
        <f t="shared" si="9"/>
        <v>150.63740000000001</v>
      </c>
      <c r="T14" s="6">
        <f t="shared" si="9"/>
        <v>83.800299999999993</v>
      </c>
      <c r="U14" s="6">
        <f t="shared" si="9"/>
        <v>41.955199999999998</v>
      </c>
      <c r="V14" s="6">
        <f t="shared" si="9"/>
        <v>19.160699999999999</v>
      </c>
      <c r="W14" s="67">
        <f t="shared" si="9"/>
        <v>21.370099999999997</v>
      </c>
      <c r="X14" s="37"/>
      <c r="Y14" s="78"/>
      <c r="Z14" s="7"/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/>
      <c r="L15" s="7"/>
      <c r="M15" s="2"/>
      <c r="N15" s="42" t="s">
        <v>6</v>
      </c>
      <c r="O15" s="6">
        <f>+SUM('[3]3.EXPORTACION POR TIPO'!B314:B325)/10000</f>
        <v>39.531776000000001</v>
      </c>
      <c r="P15" s="6">
        <f t="shared" ref="P15:W15" si="10">+SUM(C7:C15)+SUM(B16:B18)</f>
        <v>27.720800000000001</v>
      </c>
      <c r="Q15" s="6">
        <f t="shared" si="10"/>
        <v>60.055700000000002</v>
      </c>
      <c r="R15" s="6">
        <f t="shared" si="10"/>
        <v>86.497199999999992</v>
      </c>
      <c r="S15" s="6">
        <f t="shared" si="10"/>
        <v>149.602</v>
      </c>
      <c r="T15" s="6">
        <f t="shared" si="10"/>
        <v>80.525399999999991</v>
      </c>
      <c r="U15" s="6">
        <f t="shared" si="10"/>
        <v>39.654399999999995</v>
      </c>
      <c r="V15" s="6">
        <f t="shared" si="10"/>
        <v>19.122599999999998</v>
      </c>
      <c r="W15" s="67">
        <f t="shared" si="10"/>
        <v>21.022599999999997</v>
      </c>
      <c r="X15" s="37"/>
      <c r="Y15" s="78"/>
      <c r="Z15" s="7"/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11">+SUM(C7:C16)+SUM(B17:B18)</f>
        <v>26.668400000000002</v>
      </c>
      <c r="Q16" s="6">
        <f t="shared" si="11"/>
        <v>72.361699999999999</v>
      </c>
      <c r="R16" s="6">
        <f t="shared" si="11"/>
        <v>82.33420000000001</v>
      </c>
      <c r="S16" s="6">
        <f t="shared" si="11"/>
        <v>146.04590000000002</v>
      </c>
      <c r="T16" s="6">
        <f t="shared" si="11"/>
        <v>78.239899999999992</v>
      </c>
      <c r="U16" s="6">
        <f t="shared" si="11"/>
        <v>37.535399999999996</v>
      </c>
      <c r="V16" s="6">
        <f t="shared" si="11"/>
        <v>19.349299999999999</v>
      </c>
      <c r="W16" s="67">
        <f t="shared" si="11"/>
        <v>20.691099999999999</v>
      </c>
      <c r="X16" s="37"/>
      <c r="Y16" s="78"/>
      <c r="Z16" s="7"/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12">+SUM(C7:C17)+SUM(B18)</f>
        <v>26.471900000000002</v>
      </c>
      <c r="Q17" s="6">
        <f t="shared" si="12"/>
        <v>76.840199999999996</v>
      </c>
      <c r="R17" s="6">
        <f t="shared" si="12"/>
        <v>84.900300000000001</v>
      </c>
      <c r="S17" s="6">
        <f t="shared" si="12"/>
        <v>147.18440000000001</v>
      </c>
      <c r="T17" s="6">
        <f t="shared" si="12"/>
        <v>73.509399999999985</v>
      </c>
      <c r="U17" s="6">
        <f t="shared" si="12"/>
        <v>34.233600000000003</v>
      </c>
      <c r="V17" s="6">
        <f t="shared" si="12"/>
        <v>18.722200000000001</v>
      </c>
      <c r="W17" s="67">
        <f t="shared" si="12"/>
        <v>21.238699999999998</v>
      </c>
      <c r="X17" s="37"/>
      <c r="Y17" s="78"/>
      <c r="Z17" s="7"/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13">+SUM(C7:C18)</f>
        <v>25.582600000000003</v>
      </c>
      <c r="Q18" s="6">
        <f t="shared" si="13"/>
        <v>80.024199999999993</v>
      </c>
      <c r="R18" s="6">
        <f t="shared" si="13"/>
        <v>98.084500000000006</v>
      </c>
      <c r="S18" s="6">
        <f t="shared" si="13"/>
        <v>135.52110000000002</v>
      </c>
      <c r="T18" s="6">
        <f t="shared" si="13"/>
        <v>69.813099999999991</v>
      </c>
      <c r="U18" s="6">
        <f t="shared" si="13"/>
        <v>33.584499999999998</v>
      </c>
      <c r="V18" s="6">
        <f t="shared" si="13"/>
        <v>17.9024</v>
      </c>
      <c r="W18" s="67">
        <f t="shared" si="13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14">SUM(C7:C18)</f>
        <v>25.582600000000003</v>
      </c>
      <c r="D19" s="159">
        <f t="shared" si="14"/>
        <v>80.024199999999993</v>
      </c>
      <c r="E19" s="159">
        <f t="shared" si="14"/>
        <v>98.084500000000006</v>
      </c>
      <c r="F19" s="159">
        <f t="shared" si="14"/>
        <v>135.52110000000002</v>
      </c>
      <c r="G19" s="159">
        <f t="shared" ref="G19:H19" si="15">SUM(G7:G18)</f>
        <v>69.813099999999991</v>
      </c>
      <c r="H19" s="159">
        <f t="shared" si="15"/>
        <v>33.584499999999998</v>
      </c>
      <c r="I19" s="159">
        <f t="shared" ref="I19:J19" si="16">SUM(I7:I18)</f>
        <v>17.9024</v>
      </c>
      <c r="J19" s="216">
        <f t="shared" si="16"/>
        <v>21.989699999999999</v>
      </c>
      <c r="K19" s="216"/>
      <c r="L19" s="56"/>
      <c r="M19" s="3"/>
      <c r="N19" s="43" t="s">
        <v>14</v>
      </c>
      <c r="O19" s="46">
        <f t="shared" ref="O19" si="17">+AVERAGE(O7:O18)</f>
        <v>37.380513583333332</v>
      </c>
      <c r="P19" s="46">
        <f>+AVERAGE(P7:P18)</f>
        <v>31.208874083333331</v>
      </c>
      <c r="Q19" s="46">
        <f t="shared" ref="Q19:U19" si="18">+AVERAGE(Q7:Q18)</f>
        <v>44.061908333333328</v>
      </c>
      <c r="R19" s="46">
        <f t="shared" si="18"/>
        <v>93.026283333333325</v>
      </c>
      <c r="S19" s="46">
        <f t="shared" si="18"/>
        <v>141.71844166666668</v>
      </c>
      <c r="T19" s="46">
        <f t="shared" si="18"/>
        <v>87.690908333333354</v>
      </c>
      <c r="U19" s="226">
        <f t="shared" si="18"/>
        <v>48.523525000000006</v>
      </c>
      <c r="V19" s="226">
        <f t="shared" ref="V19:W19" si="19">+AVERAGE(V7:V18)</f>
        <v>23.084008333333333</v>
      </c>
      <c r="W19" s="220">
        <f t="shared" si="19"/>
        <v>19.826516666666667</v>
      </c>
      <c r="X19" s="220">
        <f t="shared" ref="X19" si="20">+AVERAGE(X7:X18)</f>
        <v>22.597000000000001</v>
      </c>
      <c r="Y19" s="79">
        <f>+X19/W19-1</f>
        <v>0.13973626229519232</v>
      </c>
      <c r="Z19" s="75">
        <f>+POWER(X19/S19,0.2)-1</f>
        <v>-0.30733238438168231</v>
      </c>
    </row>
    <row r="20" spans="1:26" ht="25.5" x14ac:dyDescent="0.25">
      <c r="A20" s="57" t="s">
        <v>15</v>
      </c>
      <c r="B20" s="195">
        <f t="shared" ref="B20:G20" si="21">+B19/B$73</f>
        <v>0.14953505849417817</v>
      </c>
      <c r="C20" s="58">
        <f t="shared" si="21"/>
        <v>0.11458570816221503</v>
      </c>
      <c r="D20" s="58">
        <f t="shared" si="21"/>
        <v>0.29061960246545215</v>
      </c>
      <c r="E20" s="58">
        <f t="shared" si="21"/>
        <v>0.3138985253078676</v>
      </c>
      <c r="F20" s="58">
        <f t="shared" si="21"/>
        <v>0.34321973051695531</v>
      </c>
      <c r="G20" s="58">
        <f t="shared" si="21"/>
        <v>0.20759432618545934</v>
      </c>
      <c r="H20" s="58">
        <f t="shared" ref="H20:I20" si="22">+H19/H$73</f>
        <v>0.12660682989646999</v>
      </c>
      <c r="I20" s="58">
        <f t="shared" si="22"/>
        <v>8.8301736400889397E-2</v>
      </c>
      <c r="J20" s="189">
        <f t="shared" ref="J20" si="23">+J19/J$73</f>
        <v>0.10459133197618006</v>
      </c>
      <c r="K20" s="188"/>
      <c r="L20" s="59"/>
      <c r="M20" s="3"/>
      <c r="N20" s="44" t="s">
        <v>15</v>
      </c>
      <c r="O20" s="48">
        <f t="shared" ref="O20:U20" si="24">+O19/O$73</f>
        <v>0.1455637530258577</v>
      </c>
      <c r="P20" s="48">
        <f t="shared" si="24"/>
        <v>0.1299963165166631</v>
      </c>
      <c r="Q20" s="48">
        <f t="shared" si="24"/>
        <v>0.1856737121085783</v>
      </c>
      <c r="R20" s="48">
        <f t="shared" si="24"/>
        <v>0.31021046307144468</v>
      </c>
      <c r="S20" s="48">
        <f t="shared" si="24"/>
        <v>0.37415214821167692</v>
      </c>
      <c r="T20" s="48">
        <f t="shared" si="24"/>
        <v>0.24824186246560023</v>
      </c>
      <c r="U20" s="58">
        <f t="shared" si="24"/>
        <v>0.16147852266204898</v>
      </c>
      <c r="V20" s="58">
        <f t="shared" ref="V20:W20" si="25">+V19/V$73</f>
        <v>0.10184206691144322</v>
      </c>
      <c r="W20" s="189">
        <f t="shared" si="25"/>
        <v>9.71647898634206E-2</v>
      </c>
      <c r="X20" s="189">
        <f t="shared" ref="X20" si="26">+X19/X$73</f>
        <v>0.10874964973512216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27">+D19/C19-1</f>
        <v>2.1280714235456908</v>
      </c>
      <c r="E21" s="62">
        <f t="shared" si="27"/>
        <v>0.2256854801422572</v>
      </c>
      <c r="F21" s="62">
        <f t="shared" si="27"/>
        <v>0.38167702338289944</v>
      </c>
      <c r="G21" s="62">
        <f t="shared" si="27"/>
        <v>-0.48485438798829128</v>
      </c>
      <c r="H21" s="62">
        <f t="shared" si="27"/>
        <v>-0.51893699033562468</v>
      </c>
      <c r="I21" s="62">
        <f t="shared" si="27"/>
        <v>-0.46694457264511902</v>
      </c>
      <c r="J21" s="190">
        <f t="shared" si="27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28">+Q19/P19-1</f>
        <v>0.41183908832084337</v>
      </c>
      <c r="R21" s="50">
        <f t="shared" si="28"/>
        <v>1.1112631488763256</v>
      </c>
      <c r="S21" s="50">
        <f t="shared" si="28"/>
        <v>0.52342366682391051</v>
      </c>
      <c r="T21" s="50">
        <f t="shared" si="28"/>
        <v>-0.38123149463081507</v>
      </c>
      <c r="U21" s="62">
        <f t="shared" si="28"/>
        <v>-0.44665272692180469</v>
      </c>
      <c r="V21" s="62">
        <f t="shared" si="28"/>
        <v>-0.52427181798244604</v>
      </c>
      <c r="W21" s="190">
        <f t="shared" si="28"/>
        <v>-0.14111464610601643</v>
      </c>
      <c r="X21" s="190">
        <f t="shared" si="28"/>
        <v>0.13973626229519232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25" t="s">
        <v>28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29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29">+C24+1</f>
        <v>2018</v>
      </c>
      <c r="E24" s="39">
        <f t="shared" si="29"/>
        <v>2019</v>
      </c>
      <c r="F24" s="39">
        <f t="shared" si="29"/>
        <v>2020</v>
      </c>
      <c r="G24" s="39">
        <f t="shared" si="2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0">+P24+1</f>
        <v>2018</v>
      </c>
      <c r="R24" s="64">
        <f t="shared" si="30"/>
        <v>2019</v>
      </c>
      <c r="S24" s="64">
        <f t="shared" si="30"/>
        <v>2020</v>
      </c>
      <c r="T24" s="64">
        <f t="shared" ref="T24" si="31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32">+SUM(C25)+SUM(B26:B36)</f>
        <v>218.71474100000003</v>
      </c>
      <c r="Q25" s="6">
        <f t="shared" si="32"/>
        <v>190.34180000000001</v>
      </c>
      <c r="R25" s="6">
        <f t="shared" si="32"/>
        <v>194.83350000000002</v>
      </c>
      <c r="S25" s="6">
        <f t="shared" si="32"/>
        <v>214.19419999999997</v>
      </c>
      <c r="T25" s="6">
        <f t="shared" si="32"/>
        <v>255.59110000000001</v>
      </c>
      <c r="U25" s="6">
        <f t="shared" si="32"/>
        <v>258.26530000000002</v>
      </c>
      <c r="V25" s="6">
        <f t="shared" si="32"/>
        <v>224.10120000000001</v>
      </c>
      <c r="W25" s="67">
        <f t="shared" si="32"/>
        <v>178.7801</v>
      </c>
      <c r="X25" s="37">
        <f>+SUM(K25)+SUM(J26:J36)</f>
        <v>181.01159999999999</v>
      </c>
      <c r="Y25" s="78">
        <f>+X25/W25-1</f>
        <v>1.2481814251138701E-2</v>
      </c>
      <c r="Z25" s="7">
        <f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>+K26/J26-1</f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33">+SUM(C25:C26)+SUM(B27:B36)</f>
        <v>213.92974100000004</v>
      </c>
      <c r="Q26" s="6">
        <f t="shared" si="33"/>
        <v>191.75559999999999</v>
      </c>
      <c r="R26" s="6">
        <f t="shared" si="33"/>
        <v>196.709</v>
      </c>
      <c r="S26" s="6">
        <f t="shared" si="33"/>
        <v>216.68959999999998</v>
      </c>
      <c r="T26" s="6">
        <f t="shared" si="33"/>
        <v>257.64080000000001</v>
      </c>
      <c r="U26" s="6">
        <f t="shared" si="33"/>
        <v>256.82630000000006</v>
      </c>
      <c r="V26" s="6">
        <f t="shared" si="33"/>
        <v>218.88720000000001</v>
      </c>
      <c r="W26" s="67">
        <f t="shared" si="33"/>
        <v>178.72370000000001</v>
      </c>
      <c r="X26" s="37">
        <f t="shared" ref="X26" si="34">+SUM(K25:K26)+SUM(J27:J36)</f>
        <v>180.52250000000001</v>
      </c>
      <c r="Y26" s="78">
        <f>+X26/W26-1</f>
        <v>1.0064697631036124E-2</v>
      </c>
      <c r="Z26" s="7">
        <f>+POWER(X26/S26,0.2)-1</f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>+K27/J27-1</f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35">+SUM(C25:C27)+SUM(B28:B36)</f>
        <v>210.80398600000001</v>
      </c>
      <c r="Q27" s="6">
        <f t="shared" si="35"/>
        <v>190.95230000000001</v>
      </c>
      <c r="R27" s="6">
        <f t="shared" si="35"/>
        <v>197.67939999999999</v>
      </c>
      <c r="S27" s="6">
        <f t="shared" si="35"/>
        <v>217.22689999999997</v>
      </c>
      <c r="T27" s="6">
        <f t="shared" si="35"/>
        <v>264.28190000000001</v>
      </c>
      <c r="U27" s="6">
        <f t="shared" si="35"/>
        <v>255.05039999999997</v>
      </c>
      <c r="V27" s="6">
        <f t="shared" si="35"/>
        <v>214.87289999999999</v>
      </c>
      <c r="W27" s="67">
        <f t="shared" ref="W27" si="36">+SUM(J25:J27)+SUM(I28:I36)</f>
        <v>174.6808</v>
      </c>
      <c r="X27" s="37">
        <f t="shared" ref="X27" si="37">+SUM(K25:K27)+SUM(J28:J36)</f>
        <v>180.4676</v>
      </c>
      <c r="Y27" s="78">
        <f>+X27/W27-1</f>
        <v>3.3127853776717231E-2</v>
      </c>
      <c r="Z27" s="7">
        <f>+POWER(X27/S27,0.2)-1</f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>+K28/J28-1</f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38">+SUM(C25:C28)+SUM(B29:B36)</f>
        <v>207.111988</v>
      </c>
      <c r="Q28" s="6">
        <f t="shared" si="38"/>
        <v>190.23070000000001</v>
      </c>
      <c r="R28" s="6">
        <f t="shared" si="38"/>
        <v>201.12279999999998</v>
      </c>
      <c r="S28" s="6">
        <f t="shared" si="38"/>
        <v>219.9211</v>
      </c>
      <c r="T28" s="6">
        <f t="shared" si="38"/>
        <v>265.22429999999997</v>
      </c>
      <c r="U28" s="6">
        <f t="shared" si="38"/>
        <v>255.30599999999998</v>
      </c>
      <c r="V28" s="6">
        <f t="shared" si="38"/>
        <v>207.16219999999996</v>
      </c>
      <c r="W28" s="67">
        <f t="shared" ref="W28" si="39">+SUM(J25:J28)+SUM(I29:I36)</f>
        <v>177.76429999999999</v>
      </c>
      <c r="X28" s="37">
        <f t="shared" ref="X28" si="40">+SUM(K25:K28)+SUM(J29:J36)</f>
        <v>178.17830000000001</v>
      </c>
      <c r="Y28" s="78">
        <f>+X28/W28-1</f>
        <v>2.3289265617449928E-3</v>
      </c>
      <c r="Z28" s="7">
        <f>+POWER(X28/S28,0.2)-1</f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/>
      <c r="L29" s="7"/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41">+SUM(C25:C29)+SUM(B30:B36)</f>
        <v>204.71651</v>
      </c>
      <c r="Q29" s="6">
        <f t="shared" si="41"/>
        <v>190.465</v>
      </c>
      <c r="R29" s="6">
        <f t="shared" si="41"/>
        <v>203.6422</v>
      </c>
      <c r="S29" s="6">
        <f t="shared" si="41"/>
        <v>223.1789</v>
      </c>
      <c r="T29" s="6">
        <f t="shared" si="41"/>
        <v>266.03710000000001</v>
      </c>
      <c r="U29" s="6">
        <f t="shared" si="41"/>
        <v>251.99490000000003</v>
      </c>
      <c r="V29" s="6">
        <f t="shared" si="41"/>
        <v>204.26420000000002</v>
      </c>
      <c r="W29" s="67">
        <f t="shared" ref="W29" si="42">+SUM(J25:J29)+SUM(I30:I36)</f>
        <v>177.11019999999999</v>
      </c>
      <c r="X29" s="37"/>
      <c r="Y29" s="78"/>
      <c r="Z29" s="7"/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/>
      <c r="L30" s="7"/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43">+SUM(C25:C30)+SUM(B31:B36)</f>
        <v>206.3612</v>
      </c>
      <c r="Q30" s="6">
        <f t="shared" si="43"/>
        <v>187.52120000000002</v>
      </c>
      <c r="R30" s="6">
        <f t="shared" si="43"/>
        <v>203.61880000000002</v>
      </c>
      <c r="S30" s="6">
        <f t="shared" si="43"/>
        <v>229.2089</v>
      </c>
      <c r="T30" s="6">
        <f t="shared" si="43"/>
        <v>268.43119999999999</v>
      </c>
      <c r="U30" s="6">
        <f t="shared" si="43"/>
        <v>250.96310000000003</v>
      </c>
      <c r="V30" s="6">
        <f t="shared" si="43"/>
        <v>195.73259999999999</v>
      </c>
      <c r="W30" s="67">
        <f t="shared" ref="W30" si="44">+SUM(J25:J30)+SUM(I31:I36)</f>
        <v>174.53059999999999</v>
      </c>
      <c r="X30" s="37"/>
      <c r="Y30" s="78"/>
      <c r="Z30" s="7"/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/>
      <c r="L31" s="7"/>
      <c r="M31" s="2"/>
      <c r="N31" s="42" t="s">
        <v>4</v>
      </c>
      <c r="O31" s="6">
        <f>+SUM('[3]3.EXPORTACION POR TIPO'!C312:C323)/10000</f>
        <v>209.828587</v>
      </c>
      <c r="P31" s="6">
        <f t="shared" ref="P31:V31" si="45">+SUM(C25:C31)+SUM(B32:B36)</f>
        <v>207.08420000000001</v>
      </c>
      <c r="Q31" s="6">
        <f t="shared" si="45"/>
        <v>189.78700000000003</v>
      </c>
      <c r="R31" s="6">
        <f t="shared" si="45"/>
        <v>203.10489999999999</v>
      </c>
      <c r="S31" s="6">
        <f t="shared" si="45"/>
        <v>236.33259999999999</v>
      </c>
      <c r="T31" s="6">
        <f t="shared" si="45"/>
        <v>265.46980000000002</v>
      </c>
      <c r="U31" s="6">
        <f t="shared" si="45"/>
        <v>244.39139999999998</v>
      </c>
      <c r="V31" s="6">
        <f t="shared" si="45"/>
        <v>194.86930000000001</v>
      </c>
      <c r="W31" s="67">
        <f t="shared" ref="W31" si="46">+SUM(J25:J31)+SUM(I32:I36)</f>
        <v>179.87259999999998</v>
      </c>
      <c r="X31" s="37"/>
      <c r="Y31" s="78"/>
      <c r="Z31" s="7"/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/>
      <c r="L32" s="7"/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47">+SUM(C25:C32)+SUM(B33:B36)</f>
        <v>203.96719999999999</v>
      </c>
      <c r="Q32" s="6">
        <f t="shared" si="47"/>
        <v>188.6669</v>
      </c>
      <c r="R32" s="6">
        <f t="shared" si="47"/>
        <v>205.08080000000001</v>
      </c>
      <c r="S32" s="6">
        <f t="shared" si="47"/>
        <v>239.38669999999999</v>
      </c>
      <c r="T32" s="6">
        <f t="shared" si="47"/>
        <v>262.5702</v>
      </c>
      <c r="U32" s="6">
        <f t="shared" si="47"/>
        <v>244.72399999999999</v>
      </c>
      <c r="V32" s="6">
        <f t="shared" si="47"/>
        <v>189.76339999999999</v>
      </c>
      <c r="W32" s="67">
        <f t="shared" ref="W32" si="48">+SUM(J25:J32)+SUM(I33:I36)</f>
        <v>181.2886</v>
      </c>
      <c r="X32" s="37"/>
      <c r="Y32" s="78"/>
      <c r="Z32" s="7"/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/>
      <c r="L33" s="7"/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49">+SUM(C25:C33)+SUM(B34:B36)</f>
        <v>200.82980000000001</v>
      </c>
      <c r="Q33" s="6">
        <f t="shared" si="49"/>
        <v>187.68700000000001</v>
      </c>
      <c r="R33" s="6">
        <f t="shared" si="49"/>
        <v>206.2047</v>
      </c>
      <c r="S33" s="6">
        <f t="shared" si="49"/>
        <v>247.44519999999997</v>
      </c>
      <c r="T33" s="6">
        <f t="shared" si="49"/>
        <v>260.88780000000003</v>
      </c>
      <c r="U33" s="6">
        <f t="shared" si="49"/>
        <v>243.73650000000004</v>
      </c>
      <c r="V33" s="6">
        <f t="shared" si="49"/>
        <v>184.76069999999999</v>
      </c>
      <c r="W33" s="67">
        <f t="shared" ref="W33" si="50">+SUM(J25:J33)+SUM(I34:I36)</f>
        <v>180.21360000000001</v>
      </c>
      <c r="X33" s="37"/>
      <c r="Y33" s="78"/>
      <c r="Z33" s="7"/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51">+SUM(C25:C34)+SUM(B35:B36)</f>
        <v>198.90010000000001</v>
      </c>
      <c r="Q34" s="6">
        <f t="shared" si="51"/>
        <v>188.67710000000002</v>
      </c>
      <c r="R34" s="6">
        <f t="shared" si="51"/>
        <v>208.31850000000003</v>
      </c>
      <c r="S34" s="6">
        <f t="shared" si="51"/>
        <v>251.43389999999999</v>
      </c>
      <c r="T34" s="6">
        <f t="shared" si="51"/>
        <v>257.40940000000001</v>
      </c>
      <c r="U34" s="6">
        <f t="shared" si="51"/>
        <v>239.81730000000002</v>
      </c>
      <c r="V34" s="6">
        <f t="shared" si="51"/>
        <v>182.68899999999999</v>
      </c>
      <c r="W34" s="67">
        <f t="shared" ref="W34" si="52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53">+SUM(C25:C35)+SUM(B36)</f>
        <v>198.32160000000002</v>
      </c>
      <c r="Q35" s="6">
        <f t="shared" si="53"/>
        <v>189.83440000000004</v>
      </c>
      <c r="R35" s="6">
        <f t="shared" si="53"/>
        <v>209.33080000000001</v>
      </c>
      <c r="S35" s="6">
        <f t="shared" si="53"/>
        <v>255.55369999999999</v>
      </c>
      <c r="T35" s="6">
        <f t="shared" si="53"/>
        <v>258.66900000000004</v>
      </c>
      <c r="U35" s="6">
        <f t="shared" si="53"/>
        <v>233.30220000000003</v>
      </c>
      <c r="V35" s="6">
        <f t="shared" si="53"/>
        <v>180.5617</v>
      </c>
      <c r="W35" s="67">
        <f t="shared" ref="W35" si="54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55">+SUM(C25:C36)</f>
        <v>194.32600000000002</v>
      </c>
      <c r="Q36" s="6">
        <f t="shared" si="55"/>
        <v>191.70300000000003</v>
      </c>
      <c r="R36" s="6">
        <f t="shared" si="55"/>
        <v>211.08090000000001</v>
      </c>
      <c r="S36" s="6">
        <f t="shared" si="55"/>
        <v>256.32260000000002</v>
      </c>
      <c r="T36" s="6">
        <f t="shared" si="55"/>
        <v>262.1601</v>
      </c>
      <c r="U36" s="6">
        <f t="shared" si="55"/>
        <v>225.5866</v>
      </c>
      <c r="V36" s="6">
        <f t="shared" si="55"/>
        <v>180.39320000000001</v>
      </c>
      <c r="W36" s="67">
        <f t="shared" ref="W36" si="56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57">SUM(G25:G36)</f>
        <v>262.1601</v>
      </c>
      <c r="H37" s="159">
        <f t="shared" ref="H37" si="58">SUM(H25:H36)</f>
        <v>225.5866</v>
      </c>
      <c r="I37" s="159">
        <f t="shared" ref="I37:J37" si="59">SUM(I25:I36)</f>
        <v>180.39320000000001</v>
      </c>
      <c r="J37" s="216">
        <f t="shared" si="59"/>
        <v>182.86240000000001</v>
      </c>
      <c r="K37" s="216"/>
      <c r="L37" s="56"/>
      <c r="M37" s="3"/>
      <c r="N37" s="43" t="s">
        <v>14</v>
      </c>
      <c r="O37" s="46">
        <f t="shared" ref="O37:V37" si="60">+AVERAGE(O25:O36)</f>
        <v>216.08199108333329</v>
      </c>
      <c r="P37" s="46">
        <f t="shared" si="60"/>
        <v>205.42225550000003</v>
      </c>
      <c r="Q37" s="46">
        <f t="shared" si="60"/>
        <v>189.80183333333335</v>
      </c>
      <c r="R37" s="46">
        <f t="shared" si="60"/>
        <v>203.39385833333336</v>
      </c>
      <c r="S37" s="46">
        <f t="shared" si="60"/>
        <v>233.90785833333334</v>
      </c>
      <c r="T37" s="46">
        <f t="shared" si="60"/>
        <v>262.03105833333331</v>
      </c>
      <c r="U37" s="226">
        <f t="shared" si="60"/>
        <v>246.6636666666667</v>
      </c>
      <c r="V37" s="226">
        <f t="shared" si="60"/>
        <v>198.1714666666667</v>
      </c>
      <c r="W37" s="220">
        <f t="shared" ref="W37:X37" si="61">+AVERAGE(W25:W36)</f>
        <v>179.22853333333333</v>
      </c>
      <c r="X37" s="220">
        <f t="shared" si="61"/>
        <v>180.04500000000002</v>
      </c>
      <c r="Y37" s="79">
        <f>+X37/W37-1</f>
        <v>4.5554502482492154E-3</v>
      </c>
      <c r="Z37" s="75">
        <f>+POWER(X37/S37,0.2)-1</f>
        <v>-5.099773160222254E-2</v>
      </c>
    </row>
    <row r="38" spans="1:26" ht="25.5" x14ac:dyDescent="0.25">
      <c r="A38" s="57" t="s">
        <v>15</v>
      </c>
      <c r="B38" s="195">
        <f t="shared" ref="B38:G38" si="62">+B37/B$73</f>
        <v>0.83798867713469483</v>
      </c>
      <c r="C38" s="58">
        <f t="shared" si="62"/>
        <v>0.87039559404949451</v>
      </c>
      <c r="D38" s="58">
        <f t="shared" si="62"/>
        <v>0.69619752089286224</v>
      </c>
      <c r="E38" s="58">
        <f t="shared" si="62"/>
        <v>0.67551940653882592</v>
      </c>
      <c r="F38" s="58">
        <f t="shared" si="62"/>
        <v>0.64916071148629495</v>
      </c>
      <c r="G38" s="58">
        <f t="shared" si="62"/>
        <v>0.77955210859011626</v>
      </c>
      <c r="H38" s="58">
        <f t="shared" ref="H38" si="63">+H37/H$73</f>
        <v>0.85041624240715274</v>
      </c>
      <c r="I38" s="58">
        <f t="shared" ref="I38:J38" si="64">+I37/I$73</f>
        <v>0.88977080139606546</v>
      </c>
      <c r="J38" s="189">
        <f t="shared" si="64"/>
        <v>0.86976275185023133</v>
      </c>
      <c r="K38" s="188"/>
      <c r="L38" s="59"/>
      <c r="M38" s="3"/>
      <c r="N38" s="44" t="s">
        <v>15</v>
      </c>
      <c r="O38" s="48">
        <f t="shared" ref="O38:V38" si="65">+O37/O$73</f>
        <v>0.84144658722436672</v>
      </c>
      <c r="P38" s="48">
        <f t="shared" si="65"/>
        <v>0.85565844106519107</v>
      </c>
      <c r="Q38" s="48">
        <f t="shared" si="65"/>
        <v>0.79981127220841064</v>
      </c>
      <c r="R38" s="48">
        <f t="shared" si="65"/>
        <v>0.67824813287862373</v>
      </c>
      <c r="S38" s="48">
        <f t="shared" si="65"/>
        <v>0.61754226655170741</v>
      </c>
      <c r="T38" s="48">
        <f t="shared" si="65"/>
        <v>0.74177676090707223</v>
      </c>
      <c r="U38" s="58">
        <f t="shared" si="65"/>
        <v>0.82085719221217801</v>
      </c>
      <c r="V38" s="58">
        <f t="shared" si="65"/>
        <v>0.8742932109872098</v>
      </c>
      <c r="W38" s="189">
        <f t="shared" ref="W38:X38" si="66">+W37/W$73</f>
        <v>0.87835412905086241</v>
      </c>
      <c r="X38" s="189">
        <f t="shared" si="66"/>
        <v>0.86647920903483067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67">+D37/C37-1</f>
        <v>-1.3497936457293358E-2</v>
      </c>
      <c r="E39" s="62">
        <f t="shared" si="67"/>
        <v>0.10108292514984107</v>
      </c>
      <c r="F39" s="62">
        <f t="shared" si="67"/>
        <v>0.21433346172012735</v>
      </c>
      <c r="G39" s="62">
        <f t="shared" si="67"/>
        <v>2.2774035531786696E-2</v>
      </c>
      <c r="H39" s="62">
        <f t="shared" si="67"/>
        <v>-0.13950826231756852</v>
      </c>
      <c r="I39" s="62">
        <f t="shared" si="67"/>
        <v>-0.20033725407448844</v>
      </c>
      <c r="J39" s="190">
        <f t="shared" si="67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68">+Q37/P37-1</f>
        <v>-7.6040554265390581E-2</v>
      </c>
      <c r="R39" s="50">
        <f t="shared" si="68"/>
        <v>7.1611663392784353E-2</v>
      </c>
      <c r="S39" s="50">
        <f t="shared" si="68"/>
        <v>0.15002419566667502</v>
      </c>
      <c r="T39" s="50">
        <f t="shared" ref="T39" si="69">+T37/S37-1</f>
        <v>0.1202319588592986</v>
      </c>
      <c r="U39" s="62">
        <f t="shared" ref="U39" si="70">+U37/T37-1</f>
        <v>-5.8647214434853545E-2</v>
      </c>
      <c r="V39" s="62">
        <f t="shared" ref="V39:X39" si="71">+V37/U37-1</f>
        <v>-0.19659239098853898</v>
      </c>
      <c r="W39" s="190">
        <f t="shared" si="71"/>
        <v>-9.5588601386274452E-2</v>
      </c>
      <c r="X39" s="190">
        <f t="shared" si="71"/>
        <v>4.5554502482492154E-3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25" t="s">
        <v>30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M41" s="2"/>
      <c r="N41" s="325" t="s">
        <v>31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72">+C42+1</f>
        <v>2018</v>
      </c>
      <c r="E42" s="39">
        <f t="shared" si="72"/>
        <v>2019</v>
      </c>
      <c r="F42" s="39">
        <f t="shared" si="72"/>
        <v>2020</v>
      </c>
      <c r="G42" s="39">
        <f t="shared" si="72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73">+P42+1</f>
        <v>2018</v>
      </c>
      <c r="R42" s="64">
        <f t="shared" si="73"/>
        <v>2019</v>
      </c>
      <c r="S42" s="64">
        <f t="shared" si="73"/>
        <v>2020</v>
      </c>
      <c r="T42" s="64">
        <f t="shared" ref="T42" si="74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75">+SUM(C43)+SUM(B44:B54)</f>
        <v>3.1496399999999998</v>
      </c>
      <c r="Q43" s="6">
        <f t="shared" si="75"/>
        <v>3.2304000000000004</v>
      </c>
      <c r="R43" s="6">
        <f t="shared" si="75"/>
        <v>3.5172999999999996</v>
      </c>
      <c r="S43" s="6">
        <f t="shared" si="75"/>
        <v>3.2462</v>
      </c>
      <c r="T43" s="6">
        <f t="shared" si="75"/>
        <v>3.0320000000000005</v>
      </c>
      <c r="U43" s="6">
        <f t="shared" si="75"/>
        <v>4.3163999999999998</v>
      </c>
      <c r="V43" s="6">
        <f t="shared" si="75"/>
        <v>6.1757000000000009</v>
      </c>
      <c r="W43" s="67">
        <f t="shared" si="75"/>
        <v>4.2975000000000003</v>
      </c>
      <c r="X43" s="37">
        <f>+SUM(K43)+SUM(J44:J54)</f>
        <v>5.1043999999999992</v>
      </c>
      <c r="Y43" s="78">
        <f>+X43/W43-1</f>
        <v>0.18776032577079671</v>
      </c>
      <c r="Z43" s="7">
        <f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>+K44/J44-1</f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76">+SUM(C43:C44)+SUM(B45:B54)</f>
        <v>3.1580159999999995</v>
      </c>
      <c r="Q44" s="6">
        <f t="shared" si="76"/>
        <v>3.2027000000000005</v>
      </c>
      <c r="R44" s="6">
        <f t="shared" si="76"/>
        <v>3.54</v>
      </c>
      <c r="S44" s="6">
        <f t="shared" si="76"/>
        <v>3.2768000000000002</v>
      </c>
      <c r="T44" s="6">
        <f t="shared" si="76"/>
        <v>3.0412999999999997</v>
      </c>
      <c r="U44" s="6">
        <f t="shared" si="76"/>
        <v>4.3353999999999999</v>
      </c>
      <c r="V44" s="6">
        <f t="shared" si="76"/>
        <v>6.339599999999999</v>
      </c>
      <c r="W44" s="67">
        <f t="shared" si="76"/>
        <v>4.1048000000000009</v>
      </c>
      <c r="X44" s="37">
        <f t="shared" ref="X44" si="77">+SUM(K43:K44)+SUM(J45:J54)</f>
        <v>5.2447999999999997</v>
      </c>
      <c r="Y44" s="78">
        <f>+X44/W44-1</f>
        <v>0.27772364061586408</v>
      </c>
      <c r="Z44" s="7">
        <f>+POWER(X44/S44,0.2)-1</f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>+K45/J45-1</f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78">+SUM(C43:C45)+SUM(B46:B54)</f>
        <v>3.2051509999999999</v>
      </c>
      <c r="Q45" s="6">
        <f t="shared" si="78"/>
        <v>3.2430000000000003</v>
      </c>
      <c r="R45" s="6">
        <f t="shared" si="78"/>
        <v>3.4514</v>
      </c>
      <c r="S45" s="6">
        <f t="shared" si="78"/>
        <v>3.2434000000000003</v>
      </c>
      <c r="T45" s="6">
        <f t="shared" si="78"/>
        <v>3.1282000000000001</v>
      </c>
      <c r="U45" s="6">
        <f t="shared" si="78"/>
        <v>4.5890000000000004</v>
      </c>
      <c r="V45" s="6">
        <f t="shared" si="78"/>
        <v>6.088099999999999</v>
      </c>
      <c r="W45" s="67">
        <f t="shared" ref="W45" si="79">+SUM(J43:J45)+SUM(I46:I54)</f>
        <v>4.2706</v>
      </c>
      <c r="X45" s="37">
        <f t="shared" ref="X45" si="80">+SUM(K43:K45)+SUM(J46:J54)</f>
        <v>5.1254999999999997</v>
      </c>
      <c r="Y45" s="78">
        <f>+X45/W45-1</f>
        <v>0.20018264412494724</v>
      </c>
      <c r="Z45" s="7">
        <f>+POWER(X45/S45,0.2)-1</f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>+K46/J46-1</f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81">+SUM(C43:C46)+SUM(B47:B54)</f>
        <v>3.2375179999999997</v>
      </c>
      <c r="Q46" s="6">
        <f t="shared" si="81"/>
        <v>3.3452000000000006</v>
      </c>
      <c r="R46" s="6">
        <f t="shared" si="81"/>
        <v>3.3603999999999994</v>
      </c>
      <c r="S46" s="6">
        <f t="shared" si="81"/>
        <v>3.3224</v>
      </c>
      <c r="T46" s="6">
        <f t="shared" si="81"/>
        <v>3.0156999999999998</v>
      </c>
      <c r="U46" s="6">
        <f t="shared" si="81"/>
        <v>4.8224999999999998</v>
      </c>
      <c r="V46" s="6">
        <f t="shared" si="81"/>
        <v>5.8988999999999994</v>
      </c>
      <c r="W46" s="67">
        <f t="shared" ref="W46" si="82">+SUM(J43:J46)+SUM(I47:I54)</f>
        <v>4.4527000000000001</v>
      </c>
      <c r="X46" s="37">
        <f t="shared" ref="X46" si="83">+SUM(K43:K46)+SUM(J47:J54)</f>
        <v>5.0259999999999998</v>
      </c>
      <c r="Y46" s="78">
        <f>+X46/W46-1</f>
        <v>0.1287533406697059</v>
      </c>
      <c r="Z46" s="7">
        <f>+POWER(X46/S46,0.2)-1</f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/>
      <c r="L47" s="7"/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84">+SUM(C43:C47)+SUM(B48:B54)</f>
        <v>3.3534709999999999</v>
      </c>
      <c r="Q47" s="6">
        <f t="shared" si="84"/>
        <v>3.3656000000000001</v>
      </c>
      <c r="R47" s="6">
        <f t="shared" si="84"/>
        <v>3.2399</v>
      </c>
      <c r="S47" s="6">
        <f t="shared" si="84"/>
        <v>3.2913999999999999</v>
      </c>
      <c r="T47" s="6">
        <f t="shared" si="84"/>
        <v>3.0647000000000002</v>
      </c>
      <c r="U47" s="6">
        <f t="shared" si="84"/>
        <v>5.0191999999999997</v>
      </c>
      <c r="V47" s="6">
        <f t="shared" si="84"/>
        <v>5.6800000000000015</v>
      </c>
      <c r="W47" s="67">
        <f t="shared" ref="W47" si="85">+SUM(J43:J47)+SUM(I48:I54)</f>
        <v>4.7805</v>
      </c>
      <c r="X47" s="37"/>
      <c r="Y47" s="78"/>
      <c r="Z47" s="7"/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/>
      <c r="L48" s="7"/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86">+SUM(C43:C48)+SUM(B49:B54)</f>
        <v>3.4413299999999998</v>
      </c>
      <c r="Q48" s="6">
        <f t="shared" si="86"/>
        <v>3.3334000000000001</v>
      </c>
      <c r="R48" s="6">
        <f t="shared" si="86"/>
        <v>3.2820999999999998</v>
      </c>
      <c r="S48" s="6">
        <f t="shared" si="86"/>
        <v>3.1452999999999998</v>
      </c>
      <c r="T48" s="6">
        <f t="shared" si="86"/>
        <v>3.2317999999999998</v>
      </c>
      <c r="U48" s="6">
        <f t="shared" si="86"/>
        <v>5.18</v>
      </c>
      <c r="V48" s="6">
        <f t="shared" si="86"/>
        <v>5.5455000000000005</v>
      </c>
      <c r="W48" s="67">
        <f t="shared" ref="W48" si="87">+SUM(J43:J48)+SUM(I49:I54)</f>
        <v>4.6814999999999998</v>
      </c>
      <c r="X48" s="37"/>
      <c r="Y48" s="78"/>
      <c r="Z48" s="7"/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/>
      <c r="L49" s="7"/>
      <c r="M49" s="2"/>
      <c r="N49" s="42" t="s">
        <v>4</v>
      </c>
      <c r="O49" s="6">
        <f>+SUM('[3]3.EXPORTACION POR TIPO'!D312:D323)/10000</f>
        <v>3.016667</v>
      </c>
      <c r="P49" s="6">
        <f t="shared" ref="P49:V49" si="88">+SUM(C43:C49)+SUM(B50:B54)</f>
        <v>3.412652</v>
      </c>
      <c r="Q49" s="6">
        <f t="shared" si="88"/>
        <v>3.4478000000000004</v>
      </c>
      <c r="R49" s="6">
        <f t="shared" si="88"/>
        <v>3.2639</v>
      </c>
      <c r="S49" s="6">
        <f t="shared" si="88"/>
        <v>3.0648999999999997</v>
      </c>
      <c r="T49" s="6">
        <f t="shared" si="88"/>
        <v>3.3654999999999999</v>
      </c>
      <c r="U49" s="6">
        <f t="shared" si="88"/>
        <v>5.313600000000001</v>
      </c>
      <c r="V49" s="6">
        <f t="shared" si="88"/>
        <v>5.5594999999999999</v>
      </c>
      <c r="W49" s="67">
        <f t="shared" ref="W49" si="89">+SUM(J43:J49)+SUM(I50:I54)</f>
        <v>4.7568999999999999</v>
      </c>
      <c r="X49" s="37"/>
      <c r="Y49" s="78"/>
      <c r="Z49" s="7"/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/>
      <c r="L50" s="7"/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90">+SUM(C43:C50)+SUM(B51:B54)</f>
        <v>3.334695</v>
      </c>
      <c r="Q50" s="6">
        <f t="shared" si="90"/>
        <v>3.4789000000000003</v>
      </c>
      <c r="R50" s="6">
        <f t="shared" si="90"/>
        <v>3.1905999999999999</v>
      </c>
      <c r="S50" s="6">
        <f t="shared" si="90"/>
        <v>2.9558999999999997</v>
      </c>
      <c r="T50" s="6">
        <f t="shared" si="90"/>
        <v>3.6534</v>
      </c>
      <c r="U50" s="6">
        <f t="shared" si="90"/>
        <v>5.5571000000000002</v>
      </c>
      <c r="V50" s="6">
        <f t="shared" si="90"/>
        <v>5.1516000000000002</v>
      </c>
      <c r="W50" s="67">
        <f t="shared" ref="W50" si="91">+SUM(J43:J50)+SUM(I51:I54)</f>
        <v>5.1053999999999995</v>
      </c>
      <c r="X50" s="37"/>
      <c r="Y50" s="78"/>
      <c r="Z50" s="7"/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/>
      <c r="L51" s="7"/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92">+SUM(C43:C51)+SUM(B52:B54)</f>
        <v>3.4314</v>
      </c>
      <c r="Q51" s="6">
        <f t="shared" si="92"/>
        <v>3.4323000000000001</v>
      </c>
      <c r="R51" s="6">
        <f t="shared" si="92"/>
        <v>3.2154000000000003</v>
      </c>
      <c r="S51" s="6">
        <f t="shared" si="92"/>
        <v>2.9375</v>
      </c>
      <c r="T51" s="6">
        <f t="shared" si="92"/>
        <v>3.9540999999999999</v>
      </c>
      <c r="U51" s="6">
        <f t="shared" si="92"/>
        <v>5.783100000000001</v>
      </c>
      <c r="V51" s="6">
        <f t="shared" si="92"/>
        <v>4.8765000000000001</v>
      </c>
      <c r="W51" s="67">
        <f t="shared" ref="W51" si="93">+SUM(J43:J51)+SUM(I52:I54)</f>
        <v>5.0068999999999999</v>
      </c>
      <c r="X51" s="37"/>
      <c r="Y51" s="78"/>
      <c r="Z51" s="7"/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94">+SUM(C43:C52)+SUM(B53:B54)</f>
        <v>3.4272</v>
      </c>
      <c r="Q52" s="6">
        <f t="shared" si="94"/>
        <v>3.4116000000000004</v>
      </c>
      <c r="R52" s="6">
        <f t="shared" si="94"/>
        <v>3.3214000000000001</v>
      </c>
      <c r="S52" s="6">
        <f t="shared" si="94"/>
        <v>2.9381999999999997</v>
      </c>
      <c r="T52" s="6">
        <f t="shared" si="94"/>
        <v>3.9507000000000003</v>
      </c>
      <c r="U52" s="6">
        <f t="shared" si="94"/>
        <v>6.0502000000000011</v>
      </c>
      <c r="V52" s="6">
        <f t="shared" si="94"/>
        <v>4.4618000000000002</v>
      </c>
      <c r="W52" s="67">
        <f t="shared" ref="W52" si="95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96">+SUM(C43:C53)+SUM(B54)</f>
        <v>3.3308999999999997</v>
      </c>
      <c r="Q53" s="6">
        <f t="shared" si="96"/>
        <v>3.4803000000000006</v>
      </c>
      <c r="R53" s="6">
        <f t="shared" si="96"/>
        <v>3.2614000000000001</v>
      </c>
      <c r="S53" s="6">
        <f t="shared" si="96"/>
        <v>3.0255999999999998</v>
      </c>
      <c r="T53" s="6">
        <f t="shared" si="96"/>
        <v>4.1664000000000003</v>
      </c>
      <c r="U53" s="6">
        <f t="shared" si="96"/>
        <v>6.0883000000000003</v>
      </c>
      <c r="V53" s="6">
        <f t="shared" si="96"/>
        <v>4.2617000000000003</v>
      </c>
      <c r="W53" s="67">
        <f t="shared" ref="W53" si="97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98">+SUM(C43:C54)</f>
        <v>3.2526000000000002</v>
      </c>
      <c r="Q54" s="6">
        <f t="shared" si="98"/>
        <v>3.4694000000000003</v>
      </c>
      <c r="R54" s="6">
        <f t="shared" si="98"/>
        <v>3.2695000000000003</v>
      </c>
      <c r="S54" s="6">
        <f t="shared" si="98"/>
        <v>2.9893999999999998</v>
      </c>
      <c r="T54" s="6">
        <f t="shared" si="98"/>
        <v>4.2552000000000003</v>
      </c>
      <c r="U54" s="6">
        <f t="shared" si="98"/>
        <v>6.0657000000000005</v>
      </c>
      <c r="V54" s="6">
        <f t="shared" si="98"/>
        <v>4.3748000000000005</v>
      </c>
      <c r="W54" s="67">
        <f t="shared" ref="W54" si="99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00">SUM(C43:C54)</f>
        <v>3.2526000000000002</v>
      </c>
      <c r="D55" s="159">
        <f t="shared" si="100"/>
        <v>3.4694000000000003</v>
      </c>
      <c r="E55" s="159">
        <f t="shared" si="100"/>
        <v>3.2695000000000003</v>
      </c>
      <c r="F55" s="159">
        <f t="shared" si="100"/>
        <v>2.9893999999999998</v>
      </c>
      <c r="G55" s="159">
        <f t="shared" si="100"/>
        <v>4.2552000000000003</v>
      </c>
      <c r="H55" s="159">
        <f t="shared" ref="H55" si="101">SUM(H43:H54)</f>
        <v>6.0657000000000005</v>
      </c>
      <c r="I55" s="159">
        <f t="shared" ref="I55:J55" si="102">SUM(I43:I54)</f>
        <v>4.3748000000000005</v>
      </c>
      <c r="J55" s="216">
        <f t="shared" si="102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03">+AVERAGE(Q43:Q54)</f>
        <v>3.3700500000000004</v>
      </c>
      <c r="R55" s="46">
        <f t="shared" si="103"/>
        <v>3.3261083333333334</v>
      </c>
      <c r="S55" s="46">
        <f t="shared" si="103"/>
        <v>3.1197499999999998</v>
      </c>
      <c r="T55" s="46">
        <f t="shared" si="103"/>
        <v>3.4882500000000007</v>
      </c>
      <c r="U55" s="226">
        <f t="shared" si="103"/>
        <v>5.2600416666666669</v>
      </c>
      <c r="V55" s="226">
        <f t="shared" si="103"/>
        <v>5.3678083333333335</v>
      </c>
      <c r="W55" s="220">
        <f t="shared" ref="W55:X55" si="104">+AVERAGE(W43:W54)</f>
        <v>4.7439083333333336</v>
      </c>
      <c r="X55" s="220">
        <f t="shared" si="104"/>
        <v>5.1251749999999996</v>
      </c>
      <c r="Y55" s="79">
        <f>+X55/W55-1</f>
        <v>8.036973732980357E-2</v>
      </c>
      <c r="Z55" s="75">
        <f>+POWER(X55/S55,0.2)-1</f>
        <v>0.10437808781870861</v>
      </c>
    </row>
    <row r="56" spans="1:26" ht="25.5" x14ac:dyDescent="0.25">
      <c r="A56" s="57" t="s">
        <v>15</v>
      </c>
      <c r="B56" s="195">
        <f t="shared" ref="B56:G56" si="105">+B55/B$73</f>
        <v>1.2026493314271443E-2</v>
      </c>
      <c r="C56" s="58">
        <f t="shared" si="105"/>
        <v>1.4568553406159679E-2</v>
      </c>
      <c r="D56" s="58">
        <f t="shared" si="105"/>
        <v>1.2599634220568775E-2</v>
      </c>
      <c r="E56" s="58">
        <f t="shared" si="105"/>
        <v>1.0463337515041349E-2</v>
      </c>
      <c r="F56" s="58">
        <f t="shared" si="105"/>
        <v>7.5709322194653528E-3</v>
      </c>
      <c r="G56" s="58">
        <f t="shared" si="105"/>
        <v>1.2653146426449574E-2</v>
      </c>
      <c r="H56" s="58">
        <f t="shared" ref="H56" si="106">+H55/H$73</f>
        <v>2.2866472572258576E-2</v>
      </c>
      <c r="I56" s="58">
        <f t="shared" ref="I56:J56" si="107">+I55/I$73</f>
        <v>2.1578248525706663E-2</v>
      </c>
      <c r="J56" s="189">
        <f t="shared" si="107"/>
        <v>2.4630905043663553E-2</v>
      </c>
      <c r="K56" s="188"/>
      <c r="L56" s="59"/>
      <c r="M56" s="3"/>
      <c r="N56" s="44" t="s">
        <v>15</v>
      </c>
      <c r="O56" s="48">
        <f t="shared" ref="O56:V56" si="108">+O55/O$73</f>
        <v>1.2404901037875971E-2</v>
      </c>
      <c r="P56" s="48">
        <f t="shared" si="108"/>
        <v>1.3792412895581247E-2</v>
      </c>
      <c r="Q56" s="48">
        <f t="shared" si="108"/>
        <v>1.4201148274327984E-2</v>
      </c>
      <c r="R56" s="48">
        <f t="shared" si="108"/>
        <v>1.1091420288306956E-2</v>
      </c>
      <c r="S56" s="48">
        <f t="shared" si="108"/>
        <v>8.2364803807882143E-3</v>
      </c>
      <c r="T56" s="48">
        <f t="shared" si="108"/>
        <v>9.8747942426828557E-3</v>
      </c>
      <c r="U56" s="58">
        <f t="shared" si="108"/>
        <v>1.7504576542494699E-2</v>
      </c>
      <c r="V56" s="58">
        <f t="shared" si="108"/>
        <v>2.3681705861357955E-2</v>
      </c>
      <c r="W56" s="189">
        <f t="shared" ref="W56:X56" si="109">+W55/W$73</f>
        <v>2.3248705967328091E-2</v>
      </c>
      <c r="X56" s="189">
        <f t="shared" si="109"/>
        <v>2.4665264684745968E-2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10">+D55/C55-1</f>
        <v>6.6654368812642195E-2</v>
      </c>
      <c r="E57" s="62">
        <f t="shared" si="110"/>
        <v>-5.7618031936357839E-2</v>
      </c>
      <c r="F57" s="62">
        <f t="shared" si="110"/>
        <v>-8.5670591833613807E-2</v>
      </c>
      <c r="G57" s="62">
        <f t="shared" si="110"/>
        <v>0.42342945072589844</v>
      </c>
      <c r="H57" s="62">
        <f t="shared" si="110"/>
        <v>0.42547941342357598</v>
      </c>
      <c r="I57" s="62">
        <f t="shared" si="110"/>
        <v>-0.27876419869100022</v>
      </c>
      <c r="J57" s="190">
        <f t="shared" si="110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11">+Q55/P55-1</f>
        <v>1.776858153225902E-2</v>
      </c>
      <c r="R57" s="50">
        <f t="shared" si="111"/>
        <v>-1.3038876772352603E-2</v>
      </c>
      <c r="S57" s="50">
        <f t="shared" si="111"/>
        <v>-6.2041975982943143E-2</v>
      </c>
      <c r="T57" s="50">
        <f t="shared" ref="T57" si="112">+T55/S55-1</f>
        <v>0.11811843897748253</v>
      </c>
      <c r="U57" s="62">
        <f t="shared" ref="U57" si="113">+U55/T55-1</f>
        <v>0.50793138870971566</v>
      </c>
      <c r="V57" s="62">
        <f t="shared" ref="V57:X57" si="114">+V55/U55-1</f>
        <v>2.0487797149895792E-2</v>
      </c>
      <c r="W57" s="190">
        <f t="shared" si="114"/>
        <v>-0.11622993245225777</v>
      </c>
      <c r="X57" s="190">
        <f t="shared" si="114"/>
        <v>8.036973732980357E-2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28" t="s">
        <v>32</v>
      </c>
      <c r="B59" s="329"/>
      <c r="C59" s="329"/>
      <c r="D59" s="329"/>
      <c r="E59" s="329"/>
      <c r="F59" s="329"/>
      <c r="G59" s="329"/>
      <c r="H59" s="329"/>
      <c r="I59" s="329"/>
      <c r="J59" s="329"/>
      <c r="K59" s="329"/>
      <c r="L59" s="330"/>
      <c r="M59" s="2"/>
      <c r="N59" s="328" t="s">
        <v>33</v>
      </c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30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15">+C60+1</f>
        <v>2018</v>
      </c>
      <c r="E60" s="39">
        <f t="shared" si="115"/>
        <v>2019</v>
      </c>
      <c r="F60" s="39">
        <f t="shared" si="115"/>
        <v>2020</v>
      </c>
      <c r="G60" s="39">
        <f t="shared" si="11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16">+P60+1</f>
        <v>2018</v>
      </c>
      <c r="R60" s="64">
        <f t="shared" si="116"/>
        <v>2019</v>
      </c>
      <c r="S60" s="64">
        <f t="shared" si="116"/>
        <v>2020</v>
      </c>
      <c r="T60" s="64">
        <f t="shared" si="116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17">+SUM(C61)+SUM(B62:B72)</f>
        <v>260.89488699999993</v>
      </c>
      <c r="Q61" s="6">
        <f t="shared" si="117"/>
        <v>219.06549999999999</v>
      </c>
      <c r="R61" s="6">
        <f t="shared" si="117"/>
        <v>286.14440000000002</v>
      </c>
      <c r="S61" s="6">
        <f t="shared" si="117"/>
        <v>329.28129999999999</v>
      </c>
      <c r="T61" s="6">
        <f t="shared" si="117"/>
        <v>374.80109999999996</v>
      </c>
      <c r="U61" s="6">
        <f t="shared" si="117"/>
        <v>331.03659999999996</v>
      </c>
      <c r="V61" s="6">
        <f t="shared" si="117"/>
        <v>262.79939999999999</v>
      </c>
      <c r="W61" s="67">
        <f t="shared" si="117"/>
        <v>200.98949999999999</v>
      </c>
      <c r="X61" s="37">
        <f>+SUM(K61)+SUM(J62:J72)</f>
        <v>208.64839999999998</v>
      </c>
      <c r="Y61" s="78">
        <f>+X61/W61-1</f>
        <v>3.8105970709912729E-2</v>
      </c>
      <c r="Z61" s="7">
        <f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>+K62/J62-1</f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18">+SUM(C61:C62)+SUM(B63:B72)</f>
        <v>254.45828699999998</v>
      </c>
      <c r="Q62" s="6">
        <f t="shared" si="118"/>
        <v>220.55179999999999</v>
      </c>
      <c r="R62" s="6">
        <f t="shared" si="118"/>
        <v>291.57029999999997</v>
      </c>
      <c r="S62" s="6">
        <f t="shared" si="118"/>
        <v>350.65570000000002</v>
      </c>
      <c r="T62" s="6">
        <f t="shared" si="118"/>
        <v>358.67950000000008</v>
      </c>
      <c r="U62" s="6">
        <f t="shared" si="118"/>
        <v>327.07159999999999</v>
      </c>
      <c r="V62" s="6">
        <f t="shared" si="118"/>
        <v>256.1739</v>
      </c>
      <c r="W62" s="67">
        <f t="shared" si="118"/>
        <v>200.23029999999997</v>
      </c>
      <c r="X62" s="37">
        <f t="shared" ref="X62" si="119">+SUM(K61:K62)+SUM(J63:J72)</f>
        <v>208.81890000000001</v>
      </c>
      <c r="Y62" s="78">
        <f>+X62/W62-1</f>
        <v>4.2893608010376338E-2</v>
      </c>
      <c r="Z62" s="7">
        <f>+POWER(X62/S62,0.2)-1</f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>+K63/J63-1</f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20">+SUM(C61:C63)+SUM(B64:B72)</f>
        <v>250.43008700000001</v>
      </c>
      <c r="Q63" s="6">
        <f t="shared" si="120"/>
        <v>220.4195</v>
      </c>
      <c r="R63" s="6">
        <f t="shared" si="120"/>
        <v>295.75329999999997</v>
      </c>
      <c r="S63" s="6">
        <f t="shared" si="120"/>
        <v>358.17239999999998</v>
      </c>
      <c r="T63" s="6">
        <f t="shared" si="120"/>
        <v>359.68440000000004</v>
      </c>
      <c r="U63" s="6">
        <f t="shared" si="120"/>
        <v>322.00600000000003</v>
      </c>
      <c r="V63" s="6">
        <f t="shared" si="120"/>
        <v>249.54640000000001</v>
      </c>
      <c r="W63" s="67">
        <f t="shared" ref="W63" si="121">+SUM(J61:J63)+SUM(I64:I72)</f>
        <v>196.63219999999998</v>
      </c>
      <c r="X63" s="37">
        <f t="shared" ref="X63" si="122">+SUM(K61:K63)+SUM(J64:J72)</f>
        <v>208.24199999999999</v>
      </c>
      <c r="Y63" s="78">
        <f>+X63/W63-1</f>
        <v>5.9043228931985769E-2</v>
      </c>
      <c r="Z63" s="7">
        <f>+POWER(X63/S63,0.2)-1</f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>+K64/J64-1</f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V64" si="123">+SUM(C61:C64)+SUM(B65:B72)</f>
        <v>245.31125700000001</v>
      </c>
      <c r="Q64" s="6">
        <f t="shared" si="123"/>
        <v>221.22529999999998</v>
      </c>
      <c r="R64" s="6">
        <f t="shared" si="123"/>
        <v>300.11070000000001</v>
      </c>
      <c r="S64" s="6">
        <f t="shared" si="123"/>
        <v>365.7414</v>
      </c>
      <c r="T64" s="6">
        <f t="shared" si="123"/>
        <v>360.92700000000002</v>
      </c>
      <c r="U64" s="6">
        <f t="shared" si="123"/>
        <v>315.93889999999999</v>
      </c>
      <c r="V64" s="6">
        <f t="shared" si="123"/>
        <v>239.41719999999998</v>
      </c>
      <c r="W64" s="67">
        <f t="shared" ref="W64" si="124">+SUM(J61:J64)+SUM(I65:I72)</f>
        <v>201.11470000000003</v>
      </c>
      <c r="X64" s="37">
        <f t="shared" ref="X64" si="125">+SUM(K61:K64)+SUM(J65:J72)</f>
        <v>205.44740000000002</v>
      </c>
      <c r="Y64" s="78">
        <f>+X64/W64-1</f>
        <v>2.1543427705682294E-2</v>
      </c>
      <c r="Z64" s="7">
        <f>+POWER(X64/S64,0.2)-1</f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/>
      <c r="L65" s="7"/>
      <c r="M65" s="2"/>
      <c r="N65" s="42" t="s">
        <v>2</v>
      </c>
      <c r="O65" s="6">
        <f>+SUM('[3]3.EXPORTACION POR TIPO'!F310:F321)/10000</f>
        <v>256.17045199999995</v>
      </c>
      <c r="P65" s="6">
        <f t="shared" ref="P65:V65" si="126">+SUM(C61:C65)+SUM(B66:B72)</f>
        <v>239.940257</v>
      </c>
      <c r="Q65" s="6">
        <f t="shared" si="126"/>
        <v>223.10019999999997</v>
      </c>
      <c r="R65" s="6">
        <f t="shared" si="126"/>
        <v>303.75889999999998</v>
      </c>
      <c r="S65" s="6">
        <f t="shared" si="126"/>
        <v>374.46260000000001</v>
      </c>
      <c r="T65" s="6">
        <f t="shared" si="126"/>
        <v>359.70089999999999</v>
      </c>
      <c r="U65" s="6">
        <f t="shared" si="126"/>
        <v>308.56880000000001</v>
      </c>
      <c r="V65" s="6">
        <f t="shared" si="126"/>
        <v>233.35980000000001</v>
      </c>
      <c r="W65" s="67">
        <f t="shared" ref="W65" si="127">+SUM(J61:J65)+SUM(I66:I72)</f>
        <v>201.9179</v>
      </c>
      <c r="X65" s="37"/>
      <c r="Y65" s="78"/>
      <c r="Z65" s="7"/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/>
      <c r="L66" s="7"/>
      <c r="M66" s="2"/>
      <c r="N66" s="42" t="s">
        <v>3</v>
      </c>
      <c r="O66" s="6">
        <f>+SUM('[3]3.EXPORTACION POR TIPO'!F311:F322)/10000</f>
        <v>250.332581</v>
      </c>
      <c r="P66" s="6">
        <f t="shared" ref="P66:V66" si="128">+SUM(C61:C66)+SUM(B67:B72)</f>
        <v>240.9622</v>
      </c>
      <c r="Q66" s="6">
        <f t="shared" si="128"/>
        <v>219.79519999999997</v>
      </c>
      <c r="R66" s="6">
        <f t="shared" si="128"/>
        <v>307.89009999999996</v>
      </c>
      <c r="S66" s="6">
        <f t="shared" si="128"/>
        <v>382.36559999999997</v>
      </c>
      <c r="T66" s="6">
        <f t="shared" si="128"/>
        <v>361.96379999999999</v>
      </c>
      <c r="U66" s="6">
        <f t="shared" si="128"/>
        <v>303.04369999999994</v>
      </c>
      <c r="V66" s="6">
        <f t="shared" si="128"/>
        <v>222.22970000000001</v>
      </c>
      <c r="W66" s="67">
        <f t="shared" ref="W66" si="129">+SUM(J61:J66)+SUM(I67:I72)</f>
        <v>199.4136</v>
      </c>
      <c r="X66" s="37"/>
      <c r="Y66" s="78"/>
      <c r="Z66" s="7"/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/>
      <c r="L67" s="7"/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30">+SUM(C61:C67)+SUM(B68:B72)</f>
        <v>240.4366</v>
      </c>
      <c r="Q67" s="6">
        <f t="shared" si="130"/>
        <v>225.0582</v>
      </c>
      <c r="R67" s="6">
        <f t="shared" si="130"/>
        <v>309.47019999999998</v>
      </c>
      <c r="S67" s="6">
        <f t="shared" si="130"/>
        <v>390.5145</v>
      </c>
      <c r="T67" s="6">
        <f t="shared" si="130"/>
        <v>355.38679999999999</v>
      </c>
      <c r="U67" s="6">
        <f t="shared" si="130"/>
        <v>294.41570000000002</v>
      </c>
      <c r="V67" s="6">
        <f t="shared" si="130"/>
        <v>220.61850000000001</v>
      </c>
      <c r="W67" s="67">
        <f t="shared" ref="W67" si="131">+SUM(J61:J67)+SUM(I68:I72)</f>
        <v>205.95840000000001</v>
      </c>
      <c r="X67" s="37"/>
      <c r="Y67" s="78"/>
      <c r="Z67" s="7"/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/>
      <c r="L68" s="7"/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32">+SUM(C61:C68)+SUM(B69:B72)</f>
        <v>235.73749999999998</v>
      </c>
      <c r="Q68" s="6">
        <f t="shared" si="132"/>
        <v>236.99679999999998</v>
      </c>
      <c r="R68" s="6">
        <f t="shared" si="132"/>
        <v>303.77679999999998</v>
      </c>
      <c r="S68" s="6">
        <f t="shared" si="132"/>
        <v>392.99780000000004</v>
      </c>
      <c r="T68" s="6">
        <f t="shared" si="132"/>
        <v>350.04909999999995</v>
      </c>
      <c r="U68" s="6">
        <f t="shared" si="132"/>
        <v>292.29589999999996</v>
      </c>
      <c r="V68" s="6">
        <f t="shared" si="132"/>
        <v>214.1026</v>
      </c>
      <c r="W68" s="67">
        <f t="shared" ref="W68" si="133">+SUM(J61:J68)+SUM(I69:I72)</f>
        <v>208.03269999999998</v>
      </c>
      <c r="X68" s="37"/>
      <c r="Y68" s="78"/>
      <c r="Z68" s="7"/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/>
      <c r="L69" s="7"/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34">+SUM(C61:C69)+SUM(B70:B72)</f>
        <v>232.1129</v>
      </c>
      <c r="Q69" s="6">
        <f t="shared" si="134"/>
        <v>251.20709999999997</v>
      </c>
      <c r="R69" s="6">
        <f t="shared" si="134"/>
        <v>296.08389999999997</v>
      </c>
      <c r="S69" s="6">
        <f t="shared" si="134"/>
        <v>400.00350000000009</v>
      </c>
      <c r="T69" s="6">
        <f t="shared" si="134"/>
        <v>345.4171</v>
      </c>
      <c r="U69" s="6">
        <f t="shared" si="134"/>
        <v>289.21140000000003</v>
      </c>
      <c r="V69" s="6">
        <f t="shared" si="134"/>
        <v>208.78930000000003</v>
      </c>
      <c r="W69" s="67">
        <f t="shared" ref="W69" si="135">+SUM(J61:J69)+SUM(I70:I72)</f>
        <v>206.50899999999999</v>
      </c>
      <c r="X69" s="37"/>
      <c r="Y69" s="78"/>
      <c r="Z69" s="7"/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36">+SUM(C61:C70)+SUM(B71:B72)</f>
        <v>229.12090000000001</v>
      </c>
      <c r="Q70" s="6">
        <f t="shared" si="136"/>
        <v>264.60679999999996</v>
      </c>
      <c r="R70" s="6">
        <f t="shared" si="136"/>
        <v>294.01409999999998</v>
      </c>
      <c r="S70" s="6">
        <f t="shared" si="136"/>
        <v>400.43740000000003</v>
      </c>
      <c r="T70" s="6">
        <f t="shared" si="136"/>
        <v>339.65570000000002</v>
      </c>
      <c r="U70" s="6">
        <f t="shared" si="136"/>
        <v>283.4393</v>
      </c>
      <c r="V70" s="6">
        <f t="shared" si="136"/>
        <v>206.57740000000001</v>
      </c>
      <c r="W70" s="67">
        <f t="shared" ref="W70" si="137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38">+SUM(C61:C71)+SUM(B72)</f>
        <v>228.23419999999999</v>
      </c>
      <c r="Q71" s="6">
        <f t="shared" si="138"/>
        <v>270.31569999999999</v>
      </c>
      <c r="R71" s="6">
        <f t="shared" si="138"/>
        <v>297.52959999999996</v>
      </c>
      <c r="S71" s="6">
        <f t="shared" si="138"/>
        <v>405.78220000000005</v>
      </c>
      <c r="T71" s="6">
        <f t="shared" si="138"/>
        <v>336.41320000000002</v>
      </c>
      <c r="U71" s="6">
        <f t="shared" si="138"/>
        <v>273.64870000000002</v>
      </c>
      <c r="V71" s="6">
        <f t="shared" si="138"/>
        <v>203.62180000000001</v>
      </c>
      <c r="W71" s="67">
        <f t="shared" ref="W71" si="139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40">+SUM(C61:C72)</f>
        <v>223.26169999999999</v>
      </c>
      <c r="Q72" s="6">
        <f t="shared" si="140"/>
        <v>275.35719999999998</v>
      </c>
      <c r="R72" s="6">
        <f t="shared" si="140"/>
        <v>312.47199999999998</v>
      </c>
      <c r="S72" s="6">
        <f t="shared" si="140"/>
        <v>394.85230000000007</v>
      </c>
      <c r="T72" s="6">
        <f t="shared" si="140"/>
        <v>336.29579999999999</v>
      </c>
      <c r="U72" s="6">
        <f t="shared" si="140"/>
        <v>265.26609999999999</v>
      </c>
      <c r="V72" s="6">
        <f t="shared" si="140"/>
        <v>202.74120000000002</v>
      </c>
      <c r="W72" s="67">
        <f t="shared" ref="W72" si="141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42">SUM(C61:C72)</f>
        <v>223.26169999999999</v>
      </c>
      <c r="D73" s="54">
        <f t="shared" si="142"/>
        <v>275.35719999999998</v>
      </c>
      <c r="E73" s="54">
        <f t="shared" si="142"/>
        <v>312.47199999999998</v>
      </c>
      <c r="F73" s="54">
        <f t="shared" si="142"/>
        <v>394.85230000000007</v>
      </c>
      <c r="G73" s="54">
        <f t="shared" si="142"/>
        <v>336.29579999999999</v>
      </c>
      <c r="H73" s="54">
        <f t="shared" ref="H73:I73" si="143">SUM(H61:H72)</f>
        <v>265.26609999999999</v>
      </c>
      <c r="I73" s="54">
        <f t="shared" si="143"/>
        <v>202.74120000000002</v>
      </c>
      <c r="J73" s="186">
        <f t="shared" ref="J73" si="144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45">+AVERAGE(Q61:Q72)</f>
        <v>237.30827499999998</v>
      </c>
      <c r="R73" s="46">
        <f t="shared" si="145"/>
        <v>299.88119166666667</v>
      </c>
      <c r="S73" s="46">
        <f t="shared" si="145"/>
        <v>378.77222500000011</v>
      </c>
      <c r="T73" s="46">
        <f t="shared" si="145"/>
        <v>353.24786666666665</v>
      </c>
      <c r="U73" s="226">
        <f t="shared" si="145"/>
        <v>300.495225</v>
      </c>
      <c r="V73" s="226">
        <f t="shared" si="145"/>
        <v>226.66476666666668</v>
      </c>
      <c r="W73" s="220">
        <f t="shared" ref="W73:X73" si="146">+AVERAGE(W61:W72)</f>
        <v>204.05042500000002</v>
      </c>
      <c r="X73" s="197">
        <f t="shared" si="146"/>
        <v>207.789175</v>
      </c>
      <c r="Y73" s="79">
        <f>+X73/W73-1</f>
        <v>1.8322676857938314E-2</v>
      </c>
      <c r="Z73" s="75">
        <f>+POWER(X73/S73,0.2)-1</f>
        <v>-0.11315247419595786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47">+D73/C73-1</f>
        <v>0.23333827521693151</v>
      </c>
      <c r="E74" s="62">
        <f t="shared" si="147"/>
        <v>0.13478783195064459</v>
      </c>
      <c r="F74" s="62">
        <f t="shared" si="147"/>
        <v>0.26364058219616515</v>
      </c>
      <c r="G74" s="62">
        <f t="shared" ref="G74:J74" si="148">+G72/F72-1</f>
        <v>-4.4936422999487524E-3</v>
      </c>
      <c r="H74" s="62">
        <f t="shared" si="148"/>
        <v>-0.3223035634641116</v>
      </c>
      <c r="I74" s="62">
        <f t="shared" si="148"/>
        <v>-4.9960852840722159E-2</v>
      </c>
      <c r="J74" s="190">
        <f t="shared" si="148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49">+Q73/P73-1</f>
        <v>-1.1524685365118081E-2</v>
      </c>
      <c r="R74" s="124">
        <f t="shared" si="149"/>
        <v>0.2636777696296797</v>
      </c>
      <c r="S74" s="124">
        <f t="shared" si="149"/>
        <v>0.26307429583988329</v>
      </c>
      <c r="T74" s="124">
        <f t="shared" si="149"/>
        <v>-6.7387090838916253E-2</v>
      </c>
      <c r="U74" s="124">
        <f t="shared" si="149"/>
        <v>-0.14933605166381747</v>
      </c>
      <c r="V74" s="124">
        <f t="shared" si="149"/>
        <v>-0.24569594519624505</v>
      </c>
      <c r="W74" s="241">
        <f t="shared" si="149"/>
        <v>-9.9769990719039803E-2</v>
      </c>
      <c r="X74" s="125">
        <f t="shared" si="149"/>
        <v>1.8322676857938314E-2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22" t="str">
        <f>+A5</f>
        <v>EXPORTACION SIN MENCION VARIETAL - Millones de litros</v>
      </c>
      <c r="B78" s="323"/>
      <c r="C78" s="323"/>
      <c r="D78" s="323"/>
      <c r="E78" s="323"/>
      <c r="F78" s="323"/>
      <c r="G78" s="323"/>
      <c r="H78" s="323"/>
      <c r="I78" s="323"/>
      <c r="J78" s="323"/>
      <c r="K78" s="324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150">+C79+1</f>
        <v>2018</v>
      </c>
      <c r="E79" s="260">
        <f t="shared" si="150"/>
        <v>2019</v>
      </c>
      <c r="F79" s="260">
        <f t="shared" si="150"/>
        <v>2020</v>
      </c>
      <c r="G79" s="260">
        <f t="shared" si="150"/>
        <v>2021</v>
      </c>
      <c r="H79" s="260">
        <f t="shared" si="150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151">+SUM(C7:C9)</f>
        <v>5.2363999999999997</v>
      </c>
      <c r="D80" s="6">
        <f t="shared" si="151"/>
        <v>5.8277999999999999</v>
      </c>
      <c r="E80" s="6">
        <f t="shared" si="151"/>
        <v>20.265499999999999</v>
      </c>
      <c r="F80" s="6">
        <f t="shared" si="151"/>
        <v>59.844099999999997</v>
      </c>
      <c r="G80" s="6">
        <f t="shared" si="151"/>
        <v>16.569800000000001</v>
      </c>
      <c r="H80" s="6">
        <f t="shared" si="151"/>
        <v>9.0701000000000001</v>
      </c>
      <c r="I80" s="6">
        <f t="shared" si="151"/>
        <v>4.0393999999999997</v>
      </c>
      <c r="J80" s="67">
        <f t="shared" si="151"/>
        <v>3.5540000000000003</v>
      </c>
      <c r="K80" s="265">
        <f t="shared" si="151"/>
        <v>4.1928999999999998</v>
      </c>
    </row>
    <row r="81" spans="1:11" x14ac:dyDescent="0.25">
      <c r="A81" s="264" t="s">
        <v>300</v>
      </c>
      <c r="B81" s="193"/>
      <c r="C81" s="6"/>
      <c r="D81" s="6"/>
      <c r="E81" s="6"/>
      <c r="F81" s="6"/>
      <c r="G81" s="6"/>
      <c r="H81" s="6"/>
      <c r="I81" s="6"/>
      <c r="J81" s="67"/>
      <c r="K81" s="265"/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52">SUM(B80:B83)</f>
        <v>7.809431</v>
      </c>
      <c r="C84" s="54">
        <f t="shared" si="152"/>
        <v>5.2363999999999997</v>
      </c>
      <c r="D84" s="54">
        <f t="shared" si="152"/>
        <v>5.8277999999999999</v>
      </c>
      <c r="E84" s="54">
        <f t="shared" si="152"/>
        <v>20.265499999999999</v>
      </c>
      <c r="F84" s="54">
        <f t="shared" si="152"/>
        <v>59.844099999999997</v>
      </c>
      <c r="G84" s="54">
        <f t="shared" si="152"/>
        <v>16.569800000000001</v>
      </c>
      <c r="H84" s="54">
        <f t="shared" si="152"/>
        <v>9.0701000000000001</v>
      </c>
      <c r="I84" s="54">
        <f t="shared" si="152"/>
        <v>4.0393999999999997</v>
      </c>
      <c r="J84" s="186">
        <f t="shared" si="152"/>
        <v>3.5540000000000003</v>
      </c>
      <c r="K84" s="267">
        <f t="shared" si="152"/>
        <v>4.1928999999999998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153">+D80/C80-1</f>
        <v>0.11294018791536176</v>
      </c>
      <c r="E85" s="257">
        <f t="shared" si="153"/>
        <v>2.4773842616424724</v>
      </c>
      <c r="F85" s="257">
        <f t="shared" si="153"/>
        <v>1.9530038735782487</v>
      </c>
      <c r="G85" s="257">
        <f t="shared" si="153"/>
        <v>-0.72311723294359842</v>
      </c>
      <c r="H85" s="257">
        <f t="shared" si="153"/>
        <v>-0.45261258434018514</v>
      </c>
      <c r="I85" s="257">
        <f t="shared" si="153"/>
        <v>-0.55464658603543515</v>
      </c>
      <c r="J85" s="258">
        <f t="shared" si="153"/>
        <v>-0.12016636134079306</v>
      </c>
      <c r="K85" s="269">
        <f t="shared" si="153"/>
        <v>0.17976927405739995</v>
      </c>
    </row>
    <row r="86" spans="1:11" x14ac:dyDescent="0.25">
      <c r="A86" s="268" t="s">
        <v>304</v>
      </c>
      <c r="B86" s="256"/>
      <c r="C86" s="257"/>
      <c r="D86" s="257"/>
      <c r="E86" s="257"/>
      <c r="F86" s="257"/>
      <c r="G86" s="257"/>
      <c r="H86" s="257"/>
      <c r="I86" s="257"/>
      <c r="J86" s="258"/>
      <c r="K86" s="269"/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22" t="str">
        <f>+A23</f>
        <v>EXPORTACION VARIETAL - Millones de litros</v>
      </c>
      <c r="B93" s="323"/>
      <c r="C93" s="323"/>
      <c r="D93" s="323"/>
      <c r="E93" s="323"/>
      <c r="F93" s="323"/>
      <c r="G93" s="323"/>
      <c r="H93" s="323"/>
      <c r="I93" s="323"/>
      <c r="J93" s="323"/>
      <c r="K93" s="324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154">+C94+1</f>
        <v>2018</v>
      </c>
      <c r="E94" s="260">
        <f t="shared" ref="E94" si="155">+D94+1</f>
        <v>2019</v>
      </c>
      <c r="F94" s="260">
        <f t="shared" ref="F94" si="156">+E94+1</f>
        <v>2020</v>
      </c>
      <c r="G94" s="260">
        <f t="shared" ref="G94" si="157">+F94+1</f>
        <v>2021</v>
      </c>
      <c r="H94" s="260">
        <f t="shared" ref="H94" si="158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159">+SUM(C25:C27)</f>
        <v>45.666600000000003</v>
      </c>
      <c r="D95" s="6">
        <f t="shared" si="159"/>
        <v>42.292900000000003</v>
      </c>
      <c r="E95" s="6">
        <f t="shared" si="159"/>
        <v>48.269300000000001</v>
      </c>
      <c r="F95" s="6">
        <f t="shared" si="159"/>
        <v>54.415300000000002</v>
      </c>
      <c r="G95" s="6">
        <f t="shared" si="159"/>
        <v>62.374600000000001</v>
      </c>
      <c r="H95" s="6">
        <f t="shared" si="159"/>
        <v>55.264899999999997</v>
      </c>
      <c r="I95" s="6">
        <f t="shared" si="159"/>
        <v>44.551200000000001</v>
      </c>
      <c r="J95" s="67">
        <f t="shared" si="159"/>
        <v>38.838799999999999</v>
      </c>
      <c r="K95" s="265">
        <f t="shared" si="159"/>
        <v>36.444000000000003</v>
      </c>
    </row>
    <row r="96" spans="1:11" x14ac:dyDescent="0.25">
      <c r="A96" s="264" t="s">
        <v>300</v>
      </c>
      <c r="B96" s="193"/>
      <c r="C96" s="6"/>
      <c r="D96" s="6"/>
      <c r="E96" s="6"/>
      <c r="F96" s="6"/>
      <c r="G96" s="6"/>
      <c r="H96" s="6"/>
      <c r="I96" s="6"/>
      <c r="J96" s="67"/>
      <c r="K96" s="265"/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160">SUM(B95:B98)</f>
        <v>52.578555000000001</v>
      </c>
      <c r="C99" s="54">
        <f t="shared" si="160"/>
        <v>45.666600000000003</v>
      </c>
      <c r="D99" s="54">
        <f t="shared" si="160"/>
        <v>42.292900000000003</v>
      </c>
      <c r="E99" s="54">
        <f t="shared" si="160"/>
        <v>48.269300000000001</v>
      </c>
      <c r="F99" s="54">
        <f t="shared" si="160"/>
        <v>54.415300000000002</v>
      </c>
      <c r="G99" s="54">
        <f t="shared" si="160"/>
        <v>62.374600000000001</v>
      </c>
      <c r="H99" s="54">
        <f t="shared" si="160"/>
        <v>55.264899999999997</v>
      </c>
      <c r="I99" s="54">
        <f t="shared" si="160"/>
        <v>44.551200000000001</v>
      </c>
      <c r="J99" s="186">
        <f t="shared" si="160"/>
        <v>38.838799999999999</v>
      </c>
      <c r="K99" s="267">
        <f t="shared" si="160"/>
        <v>36.444000000000003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161">+D95/C95-1</f>
        <v>-7.3876750185036699E-2</v>
      </c>
      <c r="E100" s="257">
        <f t="shared" si="161"/>
        <v>0.14130977067072714</v>
      </c>
      <c r="F100" s="257">
        <f t="shared" si="161"/>
        <v>0.12732730741900133</v>
      </c>
      <c r="G100" s="257">
        <f t="shared" si="161"/>
        <v>0.14626952346123234</v>
      </c>
      <c r="H100" s="257">
        <f t="shared" si="161"/>
        <v>-0.1139838972915258</v>
      </c>
      <c r="I100" s="257">
        <f t="shared" si="161"/>
        <v>-0.19386084114872182</v>
      </c>
      <c r="J100" s="258">
        <f t="shared" si="161"/>
        <v>-0.12822101312647027</v>
      </c>
      <c r="K100" s="269">
        <f t="shared" si="161"/>
        <v>-6.1659989495040923E-2</v>
      </c>
    </row>
    <row r="101" spans="1:11" x14ac:dyDescent="0.25">
      <c r="A101" s="268" t="s">
        <v>304</v>
      </c>
      <c r="B101" s="256"/>
      <c r="C101" s="257"/>
      <c r="D101" s="257"/>
      <c r="E101" s="257"/>
      <c r="F101" s="257"/>
      <c r="G101" s="257"/>
      <c r="H101" s="257"/>
      <c r="I101" s="257"/>
      <c r="J101" s="258"/>
      <c r="K101" s="269"/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22" t="str">
        <f>+A41</f>
        <v>EXPORTACION ESPUMANTE - Millones de litros</v>
      </c>
      <c r="B108" s="323"/>
      <c r="C108" s="323"/>
      <c r="D108" s="323"/>
      <c r="E108" s="323"/>
      <c r="F108" s="323"/>
      <c r="G108" s="323"/>
      <c r="H108" s="323"/>
      <c r="I108" s="323"/>
      <c r="J108" s="323"/>
      <c r="K108" s="324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162">+C109+1</f>
        <v>2018</v>
      </c>
      <c r="E109" s="260">
        <f t="shared" ref="E109" si="163">+D109+1</f>
        <v>2019</v>
      </c>
      <c r="F109" s="260">
        <f t="shared" ref="F109" si="164">+E109+1</f>
        <v>2020</v>
      </c>
      <c r="G109" s="260">
        <f t="shared" ref="G109" si="165">+F109+1</f>
        <v>2021</v>
      </c>
      <c r="H109" s="260">
        <f t="shared" ref="H109" si="166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0.48322499999999996</v>
      </c>
      <c r="C110" s="6">
        <f t="shared" ref="C110:K110" si="167">+SUM(C43:C45)</f>
        <v>0.56379999999999997</v>
      </c>
      <c r="D110" s="6">
        <f t="shared" si="167"/>
        <v>0.55420000000000003</v>
      </c>
      <c r="E110" s="6">
        <f t="shared" si="167"/>
        <v>0.53620000000000001</v>
      </c>
      <c r="F110" s="6">
        <f t="shared" si="167"/>
        <v>0.5101</v>
      </c>
      <c r="G110" s="6">
        <f t="shared" si="167"/>
        <v>0.64889999999999992</v>
      </c>
      <c r="H110" s="6">
        <f t="shared" si="167"/>
        <v>0.98270000000000002</v>
      </c>
      <c r="I110" s="6">
        <f t="shared" si="167"/>
        <v>1.0051000000000001</v>
      </c>
      <c r="J110" s="67">
        <f t="shared" si="167"/>
        <v>0.90090000000000003</v>
      </c>
      <c r="K110" s="265">
        <f t="shared" si="167"/>
        <v>0.8479000000000001</v>
      </c>
    </row>
    <row r="111" spans="1:11" x14ac:dyDescent="0.25">
      <c r="A111" s="264" t="s">
        <v>300</v>
      </c>
      <c r="B111" s="193"/>
      <c r="C111" s="6"/>
      <c r="D111" s="6"/>
      <c r="E111" s="6"/>
      <c r="F111" s="6"/>
      <c r="G111" s="6"/>
      <c r="H111" s="6"/>
      <c r="I111" s="6"/>
      <c r="J111" s="67"/>
      <c r="K111" s="265"/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168">SUM(B110:B113)</f>
        <v>0.48322499999999996</v>
      </c>
      <c r="C114" s="54">
        <f t="shared" si="168"/>
        <v>0.56379999999999997</v>
      </c>
      <c r="D114" s="54">
        <f t="shared" si="168"/>
        <v>0.55420000000000003</v>
      </c>
      <c r="E114" s="54">
        <f t="shared" si="168"/>
        <v>0.53620000000000001</v>
      </c>
      <c r="F114" s="54">
        <f t="shared" si="168"/>
        <v>0.5101</v>
      </c>
      <c r="G114" s="54">
        <f t="shared" si="168"/>
        <v>0.64889999999999992</v>
      </c>
      <c r="H114" s="54">
        <f t="shared" si="168"/>
        <v>0.98270000000000002</v>
      </c>
      <c r="I114" s="54">
        <f t="shared" si="168"/>
        <v>1.0051000000000001</v>
      </c>
      <c r="J114" s="186">
        <f t="shared" si="168"/>
        <v>0.90090000000000003</v>
      </c>
      <c r="K114" s="267">
        <f t="shared" si="168"/>
        <v>0.8479000000000001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169">+D110/C110-1</f>
        <v>-1.7027314650585157E-2</v>
      </c>
      <c r="E115" s="257">
        <f t="shared" si="169"/>
        <v>-3.2479249368459029E-2</v>
      </c>
      <c r="F115" s="257">
        <f t="shared" si="169"/>
        <v>-4.8675867213726298E-2</v>
      </c>
      <c r="G115" s="257">
        <f t="shared" si="169"/>
        <v>0.27210350911585945</v>
      </c>
      <c r="H115" s="257">
        <f t="shared" si="169"/>
        <v>0.51440899984589317</v>
      </c>
      <c r="I115" s="257">
        <f t="shared" si="169"/>
        <v>2.2794342118652722E-2</v>
      </c>
      <c r="J115" s="258">
        <f t="shared" si="169"/>
        <v>-0.1036712764899016</v>
      </c>
      <c r="K115" s="269">
        <f t="shared" si="169"/>
        <v>-5.8830058830058762E-2</v>
      </c>
    </row>
    <row r="116" spans="1:11" x14ac:dyDescent="0.25">
      <c r="A116" s="268" t="s">
        <v>304</v>
      </c>
      <c r="B116" s="256"/>
      <c r="C116" s="257"/>
      <c r="D116" s="257"/>
      <c r="E116" s="257"/>
      <c r="F116" s="257"/>
      <c r="G116" s="257"/>
      <c r="H116" s="257"/>
      <c r="I116" s="257"/>
      <c r="J116" s="258"/>
      <c r="K116" s="269"/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38" t="str">
        <f>+A59</f>
        <v>EXPORTACION DE VINO - Millones de litros</v>
      </c>
      <c r="B123" s="339"/>
      <c r="C123" s="339"/>
      <c r="D123" s="339"/>
      <c r="E123" s="339"/>
      <c r="F123" s="339"/>
      <c r="G123" s="339"/>
      <c r="H123" s="339"/>
      <c r="I123" s="339"/>
      <c r="J123" s="339"/>
      <c r="K123" s="340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170">+C124+1</f>
        <v>2018</v>
      </c>
      <c r="E124" s="260">
        <f t="shared" ref="E124" si="171">+D124+1</f>
        <v>2019</v>
      </c>
      <c r="F124" s="260">
        <f t="shared" ref="F124" si="172">+E124+1</f>
        <v>2020</v>
      </c>
      <c r="G124" s="260">
        <f t="shared" ref="G124" si="173">+F124+1</f>
        <v>2021</v>
      </c>
      <c r="H124" s="260">
        <f t="shared" ref="H124" si="174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175">+SUM(C61:C63)</f>
        <v>51.521799999999999</v>
      </c>
      <c r="D125" s="6">
        <f t="shared" si="175"/>
        <v>48.679600000000001</v>
      </c>
      <c r="E125" s="6">
        <f t="shared" si="175"/>
        <v>69.075699999999998</v>
      </c>
      <c r="F125" s="6">
        <f t="shared" si="175"/>
        <v>114.7761</v>
      </c>
      <c r="G125" s="6">
        <f t="shared" si="175"/>
        <v>79.608199999999997</v>
      </c>
      <c r="H125" s="6">
        <f t="shared" si="175"/>
        <v>65.318399999999997</v>
      </c>
      <c r="I125" s="6">
        <f t="shared" si="175"/>
        <v>49.598700000000001</v>
      </c>
      <c r="J125" s="67">
        <f t="shared" si="175"/>
        <v>43.489699999999999</v>
      </c>
      <c r="K125" s="265">
        <f t="shared" si="175"/>
        <v>41.487699999999997</v>
      </c>
    </row>
    <row r="126" spans="1:11" x14ac:dyDescent="0.25">
      <c r="A126" s="264" t="s">
        <v>300</v>
      </c>
      <c r="B126" s="193"/>
      <c r="C126" s="6"/>
      <c r="D126" s="6"/>
      <c r="E126" s="6"/>
      <c r="F126" s="6"/>
      <c r="G126" s="6"/>
      <c r="H126" s="6"/>
      <c r="I126" s="6"/>
      <c r="J126" s="67"/>
      <c r="K126" s="265"/>
    </row>
    <row r="127" spans="1:11" x14ac:dyDescent="0.25">
      <c r="A127" s="264" t="s">
        <v>301</v>
      </c>
      <c r="B127" s="193"/>
      <c r="C127" s="6"/>
      <c r="D127" s="6"/>
      <c r="E127" s="6"/>
      <c r="F127" s="6"/>
      <c r="G127" s="6"/>
      <c r="H127" s="6"/>
      <c r="I127" s="6"/>
      <c r="J127" s="67"/>
      <c r="K127" s="265"/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176">SUM(B125:B128)</f>
        <v>60.89944899999999</v>
      </c>
      <c r="C129" s="54">
        <f t="shared" si="176"/>
        <v>51.521799999999999</v>
      </c>
      <c r="D129" s="54">
        <f t="shared" si="176"/>
        <v>48.679600000000001</v>
      </c>
      <c r="E129" s="54">
        <f t="shared" si="176"/>
        <v>69.075699999999998</v>
      </c>
      <c r="F129" s="54">
        <f t="shared" si="176"/>
        <v>114.7761</v>
      </c>
      <c r="G129" s="54">
        <f t="shared" si="176"/>
        <v>79.608199999999997</v>
      </c>
      <c r="H129" s="54">
        <f t="shared" si="176"/>
        <v>65.318399999999997</v>
      </c>
      <c r="I129" s="54">
        <f t="shared" si="176"/>
        <v>49.598700000000001</v>
      </c>
      <c r="J129" s="186">
        <f t="shared" si="176"/>
        <v>43.489699999999999</v>
      </c>
      <c r="K129" s="267">
        <f t="shared" si="176"/>
        <v>41.487699999999997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177">+D125/C125-1</f>
        <v>-5.51649981173018E-2</v>
      </c>
      <c r="E130" s="257">
        <f t="shared" si="177"/>
        <v>0.41898659808215344</v>
      </c>
      <c r="F130" s="257">
        <f t="shared" si="177"/>
        <v>0.66159879668248034</v>
      </c>
      <c r="G130" s="257">
        <f t="shared" si="177"/>
        <v>-0.30640438209696974</v>
      </c>
      <c r="H130" s="257">
        <f t="shared" si="177"/>
        <v>-0.17950160913071767</v>
      </c>
      <c r="I130" s="257">
        <f t="shared" si="177"/>
        <v>-0.24066266166960604</v>
      </c>
      <c r="J130" s="258">
        <f t="shared" si="177"/>
        <v>-0.12316855078862954</v>
      </c>
      <c r="K130" s="269">
        <f t="shared" si="177"/>
        <v>-4.6033888483939966E-2</v>
      </c>
    </row>
    <row r="131" spans="1:11" x14ac:dyDescent="0.25">
      <c r="A131" s="268" t="s">
        <v>304</v>
      </c>
      <c r="B131" s="256"/>
      <c r="C131" s="257"/>
      <c r="D131" s="257"/>
      <c r="E131" s="257"/>
      <c r="F131" s="257"/>
      <c r="G131" s="257"/>
      <c r="H131" s="257"/>
      <c r="I131" s="257"/>
      <c r="J131" s="258"/>
      <c r="K131" s="269"/>
    </row>
    <row r="132" spans="1:11" x14ac:dyDescent="0.25">
      <c r="A132" s="268" t="s">
        <v>305</v>
      </c>
      <c r="B132" s="256"/>
      <c r="C132" s="257"/>
      <c r="D132" s="257"/>
      <c r="E132" s="257"/>
      <c r="F132" s="257"/>
      <c r="G132" s="257"/>
      <c r="H132" s="257"/>
      <c r="I132" s="257"/>
      <c r="J132" s="258"/>
      <c r="K132" s="269"/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</sheetData>
  <mergeCells count="15">
    <mergeCell ref="A1:Z1"/>
    <mergeCell ref="A2:Z2"/>
    <mergeCell ref="A3:Z3"/>
    <mergeCell ref="A5:L5"/>
    <mergeCell ref="N5:Z5"/>
    <mergeCell ref="N23:Z23"/>
    <mergeCell ref="A41:L41"/>
    <mergeCell ref="N41:Z41"/>
    <mergeCell ref="A59:L59"/>
    <mergeCell ref="N59:Z59"/>
    <mergeCell ref="A78:K78"/>
    <mergeCell ref="A93:K93"/>
    <mergeCell ref="A108:K108"/>
    <mergeCell ref="A123:K123"/>
    <mergeCell ref="A23:L23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workbookViewId="0">
      <selection activeCell="AF3" sqref="AF3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24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34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35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36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2">+SUM(C7)+SUM(B8:B18)</f>
        <v>208.87951699999999</v>
      </c>
      <c r="Q7" s="6">
        <f t="shared" si="2"/>
        <v>190.9247</v>
      </c>
      <c r="R7" s="6">
        <f t="shared" si="2"/>
        <v>187.04910000000001</v>
      </c>
      <c r="S7" s="6">
        <f t="shared" si="2"/>
        <v>191.40580000000003</v>
      </c>
      <c r="T7" s="6">
        <f t="shared" si="2"/>
        <v>201.93659999999997</v>
      </c>
      <c r="U7" s="6">
        <f t="shared" si="2"/>
        <v>218.27899999999997</v>
      </c>
      <c r="V7" s="6">
        <f t="shared" si="2"/>
        <v>197.9973</v>
      </c>
      <c r="W7" s="67">
        <f t="shared" si="2"/>
        <v>148.28210000000001</v>
      </c>
      <c r="X7" s="37">
        <f t="shared" si="2"/>
        <v>156.65740000000002</v>
      </c>
      <c r="Y7" s="78">
        <f>+X7/W7-1</f>
        <v>5.6482205202111446E-2</v>
      </c>
      <c r="Z7" s="7">
        <f>+POWER(X7/S7,0.2)-1</f>
        <v>-3.9274840552948054E-2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>+K8/J8-1</f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3">+SUM(C7:C8)+SUM(B9:B18)</f>
        <v>205.764917</v>
      </c>
      <c r="Q8" s="6">
        <f t="shared" si="3"/>
        <v>192.1525</v>
      </c>
      <c r="R8" s="6">
        <f t="shared" si="3"/>
        <v>187.9537</v>
      </c>
      <c r="S8" s="6">
        <f t="shared" si="3"/>
        <v>191.29660000000001</v>
      </c>
      <c r="T8" s="6">
        <f t="shared" si="3"/>
        <v>204.63569999999996</v>
      </c>
      <c r="U8" s="6">
        <f t="shared" si="3"/>
        <v>217.66669999999999</v>
      </c>
      <c r="V8" s="6">
        <f t="shared" si="3"/>
        <v>194.14330000000001</v>
      </c>
      <c r="W8" s="67">
        <f t="shared" si="3"/>
        <v>147.74379999999999</v>
      </c>
      <c r="X8" s="37">
        <f t="shared" si="3"/>
        <v>156.6575</v>
      </c>
      <c r="Y8" s="78">
        <f>+X8/W8-1</f>
        <v>6.0332142533223054E-2</v>
      </c>
      <c r="Z8" s="7">
        <f>+POWER(X8/S8,0.2)-1</f>
        <v>-3.9165058602357639E-2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>+K9/J9-1</f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4">+SUM(C7:C9)+SUM(B10:B18)</f>
        <v>203.82731699999999</v>
      </c>
      <c r="Q9" s="6">
        <f t="shared" si="4"/>
        <v>191.17219999999998</v>
      </c>
      <c r="R9" s="6">
        <f t="shared" si="4"/>
        <v>188.01259999999999</v>
      </c>
      <c r="S9" s="6">
        <f t="shared" si="4"/>
        <v>190.10899999999998</v>
      </c>
      <c r="T9" s="6">
        <f t="shared" si="4"/>
        <v>209.65290000000002</v>
      </c>
      <c r="U9" s="6">
        <f t="shared" si="4"/>
        <v>216.19379999999995</v>
      </c>
      <c r="V9" s="6">
        <f t="shared" si="4"/>
        <v>190.76689999999999</v>
      </c>
      <c r="W9" s="67">
        <f t="shared" si="4"/>
        <v>145.03809999999999</v>
      </c>
      <c r="X9" s="37">
        <f t="shared" si="4"/>
        <v>156.0839</v>
      </c>
      <c r="Y9" s="78">
        <f>+X9/W9-1</f>
        <v>7.6157919884499492E-2</v>
      </c>
      <c r="Z9" s="7">
        <f>+POWER(X9/S9,0.2)-1</f>
        <v>-3.8673119587579796E-2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>+K10/J10-1</f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5">+SUM(C7:C10)+SUM(B11:B18)</f>
        <v>201.18985700000002</v>
      </c>
      <c r="Q10" s="6">
        <f t="shared" si="5"/>
        <v>189.6986</v>
      </c>
      <c r="R10" s="6">
        <f t="shared" si="5"/>
        <v>190.4248</v>
      </c>
      <c r="S10" s="6">
        <f t="shared" si="5"/>
        <v>191.10929999999996</v>
      </c>
      <c r="T10" s="6">
        <f t="shared" si="5"/>
        <v>209.57620000000003</v>
      </c>
      <c r="U10" s="6">
        <f t="shared" si="5"/>
        <v>215.30579999999998</v>
      </c>
      <c r="V10" s="6">
        <f t="shared" si="5"/>
        <v>185.05009999999999</v>
      </c>
      <c r="W10" s="67">
        <f t="shared" si="5"/>
        <v>148.89570000000001</v>
      </c>
      <c r="X10" s="37">
        <f t="shared" si="5"/>
        <v>154.42869999999999</v>
      </c>
      <c r="Y10" s="78">
        <f t="shared" ref="Y10:Y11" si="6">+X10/W10-1</f>
        <v>3.7160240356168606E-2</v>
      </c>
      <c r="Z10" s="7">
        <f t="shared" ref="Z10:Z11" si="7">+POWER(X10/S10,0.2)-1</f>
        <v>-4.1727028733680838E-2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14.923400000000001</v>
      </c>
      <c r="K11" s="37"/>
      <c r="L11" s="7"/>
      <c r="M11" s="2"/>
      <c r="N11" s="42" t="s">
        <v>2</v>
      </c>
      <c r="O11" s="6">
        <f>+SUM('[1]4.EXPORTACIONES POR ENVASE'!B309:B320)/10000</f>
        <v>200.31826100000001</v>
      </c>
      <c r="P11" s="6">
        <f t="shared" ref="P11:W11" si="8">+SUM(C7:C11)+SUM(B12:B18)</f>
        <v>198.92325699999998</v>
      </c>
      <c r="Q11" s="6">
        <f t="shared" si="8"/>
        <v>189.06710000000001</v>
      </c>
      <c r="R11" s="6">
        <f t="shared" si="8"/>
        <v>192.6628</v>
      </c>
      <c r="S11" s="6">
        <f t="shared" si="8"/>
        <v>190.91739999999999</v>
      </c>
      <c r="T11" s="6">
        <f t="shared" si="8"/>
        <v>210.60540000000003</v>
      </c>
      <c r="U11" s="6">
        <f t="shared" si="8"/>
        <v>214.5324</v>
      </c>
      <c r="V11" s="6">
        <f t="shared" si="8"/>
        <v>180.22929999999999</v>
      </c>
      <c r="W11" s="67">
        <f t="shared" si="8"/>
        <v>150.50710000000001</v>
      </c>
      <c r="X11" s="37"/>
      <c r="Y11" s="78"/>
      <c r="Z11" s="7"/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9.9525000000000006</v>
      </c>
      <c r="K12" s="37"/>
      <c r="L12" s="7"/>
      <c r="M12" s="2"/>
      <c r="N12" s="42" t="s">
        <v>3</v>
      </c>
      <c r="O12" s="6">
        <f>+SUM('[1]4.EXPORTACIONES POR ENVASE'!B310:B321)/10000</f>
        <v>196.99139000000002</v>
      </c>
      <c r="P12" s="6">
        <f t="shared" ref="P12:W12" si="9">+SUM(C7:C12)+SUM(B13:B18)</f>
        <v>200.9742</v>
      </c>
      <c r="Q12" s="6">
        <f t="shared" si="9"/>
        <v>186.52350000000001</v>
      </c>
      <c r="R12" s="6">
        <f t="shared" si="9"/>
        <v>192.20160000000001</v>
      </c>
      <c r="S12" s="6">
        <f t="shared" si="9"/>
        <v>193.4649</v>
      </c>
      <c r="T12" s="6">
        <f t="shared" si="9"/>
        <v>214.32600000000002</v>
      </c>
      <c r="U12" s="6">
        <f t="shared" si="9"/>
        <v>213.8031</v>
      </c>
      <c r="V12" s="6">
        <f t="shared" si="9"/>
        <v>171.45780000000002</v>
      </c>
      <c r="W12" s="67">
        <f t="shared" si="9"/>
        <v>148.8912</v>
      </c>
      <c r="X12" s="37"/>
      <c r="Y12" s="78"/>
      <c r="Z12" s="7"/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/>
      <c r="L13" s="7"/>
      <c r="M13" s="2"/>
      <c r="N13" s="42" t="s">
        <v>4</v>
      </c>
      <c r="O13" s="6">
        <f>+SUM('[1]4.EXPORTACIONES POR ENVASE'!B311:B322)/10000</f>
        <v>196.04233000000002</v>
      </c>
      <c r="P13" s="6">
        <f t="shared" ref="P13:W13" si="10">+SUM(C7:C13)+SUM(B14:B18)</f>
        <v>201.87379999999999</v>
      </c>
      <c r="Q13" s="6">
        <f t="shared" si="10"/>
        <v>188.58199999999999</v>
      </c>
      <c r="R13" s="6">
        <f t="shared" si="10"/>
        <v>189.82580000000002</v>
      </c>
      <c r="S13" s="6">
        <f t="shared" si="10"/>
        <v>196.55169999999998</v>
      </c>
      <c r="T13" s="6">
        <f t="shared" si="10"/>
        <v>213.84559999999999</v>
      </c>
      <c r="U13" s="6">
        <f t="shared" si="10"/>
        <v>210.42579999999998</v>
      </c>
      <c r="V13" s="6">
        <f t="shared" si="10"/>
        <v>169.33029999999999</v>
      </c>
      <c r="W13" s="67">
        <f t="shared" si="10"/>
        <v>153.09610000000001</v>
      </c>
      <c r="X13" s="37"/>
      <c r="Y13" s="78"/>
      <c r="Z13" s="7"/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/>
      <c r="L14" s="7"/>
      <c r="M14" s="2"/>
      <c r="N14" s="42" t="s">
        <v>5</v>
      </c>
      <c r="O14" s="6">
        <f>+SUM('[1]4.EXPORTACIONES POR ENVASE'!B312:B323)/10000</f>
        <v>202.171232</v>
      </c>
      <c r="P14" s="6">
        <f t="shared" ref="P14:W14" si="11">+SUM(C7:C14)+SUM(B15:B18)</f>
        <v>198.90459999999999</v>
      </c>
      <c r="Q14" s="6">
        <f t="shared" si="11"/>
        <v>187.69150000000002</v>
      </c>
      <c r="R14" s="6">
        <f t="shared" si="11"/>
        <v>188.88640000000004</v>
      </c>
      <c r="S14" s="6">
        <f t="shared" si="11"/>
        <v>195.92619999999999</v>
      </c>
      <c r="T14" s="6">
        <f t="shared" si="11"/>
        <v>215.17150000000001</v>
      </c>
      <c r="U14" s="6">
        <f t="shared" si="11"/>
        <v>211.58329999999998</v>
      </c>
      <c r="V14" s="6">
        <f t="shared" si="11"/>
        <v>161.9956</v>
      </c>
      <c r="W14" s="67">
        <f t="shared" si="11"/>
        <v>155.48169999999999</v>
      </c>
      <c r="X14" s="37"/>
      <c r="Y14" s="78"/>
      <c r="Z14" s="7"/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/>
      <c r="L15" s="7"/>
      <c r="M15" s="2"/>
      <c r="N15" s="42" t="s">
        <v>6</v>
      </c>
      <c r="O15" s="6">
        <f>+SUM('[1]4.EXPORTACIONES POR ENVASE'!B313:B324)/10000</f>
        <v>202.838088</v>
      </c>
      <c r="P15" s="6">
        <f t="shared" ref="P15:W15" si="12">+SUM(C7:C15)+SUM(B16:B18)</f>
        <v>195.90799999999999</v>
      </c>
      <c r="Q15" s="6">
        <f t="shared" si="12"/>
        <v>185.7938</v>
      </c>
      <c r="R15" s="6">
        <f t="shared" si="12"/>
        <v>190.334</v>
      </c>
      <c r="S15" s="6">
        <f t="shared" si="12"/>
        <v>200.77289999999999</v>
      </c>
      <c r="T15" s="6">
        <f t="shared" si="12"/>
        <v>215.143</v>
      </c>
      <c r="U15" s="6">
        <f t="shared" si="12"/>
        <v>209.38409999999999</v>
      </c>
      <c r="V15" s="6">
        <f t="shared" si="12"/>
        <v>157.30439999999999</v>
      </c>
      <c r="W15" s="67">
        <f t="shared" si="12"/>
        <v>155.69459999999998</v>
      </c>
      <c r="X15" s="37"/>
      <c r="Y15" s="78"/>
      <c r="Z15" s="7"/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13">+SUM(C7:C16)+SUM(B17:B18)</f>
        <v>194.5378</v>
      </c>
      <c r="Q16" s="6">
        <f t="shared" si="13"/>
        <v>185.8065</v>
      </c>
      <c r="R16" s="6">
        <f t="shared" si="13"/>
        <v>191.79490000000004</v>
      </c>
      <c r="S16" s="6">
        <f t="shared" si="13"/>
        <v>200.67749999999998</v>
      </c>
      <c r="T16" s="6">
        <f t="shared" si="13"/>
        <v>215.02170000000001</v>
      </c>
      <c r="U16" s="6">
        <f t="shared" si="13"/>
        <v>206.77989999999997</v>
      </c>
      <c r="V16" s="6">
        <f t="shared" si="13"/>
        <v>155.02350000000001</v>
      </c>
      <c r="W16" s="67">
        <f t="shared" si="13"/>
        <v>156.29860000000002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14">+SUM(C7:C17)+SUM(B18)</f>
        <v>193.99569999999997</v>
      </c>
      <c r="Q17" s="6">
        <f t="shared" si="14"/>
        <v>186.57170000000002</v>
      </c>
      <c r="R17" s="6">
        <f t="shared" si="14"/>
        <v>191.37610000000004</v>
      </c>
      <c r="S17" s="6">
        <f t="shared" si="14"/>
        <v>201.73179999999996</v>
      </c>
      <c r="T17" s="6">
        <f t="shared" si="14"/>
        <v>217.36750000000001</v>
      </c>
      <c r="U17" s="6">
        <f t="shared" si="14"/>
        <v>201.08199999999997</v>
      </c>
      <c r="V17" s="6">
        <f t="shared" si="14"/>
        <v>153.71459999999999</v>
      </c>
      <c r="W17" s="67">
        <f t="shared" si="14"/>
        <v>156.881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15">+SUM(C7:C18)</f>
        <v>191.97369999999998</v>
      </c>
      <c r="Q18" s="6">
        <f t="shared" si="15"/>
        <v>186.51860000000002</v>
      </c>
      <c r="R18" s="6">
        <f t="shared" si="15"/>
        <v>191.37660000000002</v>
      </c>
      <c r="S18" s="6">
        <f t="shared" si="15"/>
        <v>201.57329999999996</v>
      </c>
      <c r="T18" s="6">
        <f t="shared" si="15"/>
        <v>220.32990000000001</v>
      </c>
      <c r="U18" s="6">
        <f t="shared" si="15"/>
        <v>197.26389999999998</v>
      </c>
      <c r="V18" s="6">
        <f t="shared" si="15"/>
        <v>152.19729999999998</v>
      </c>
      <c r="W18" s="67">
        <f t="shared" si="15"/>
        <v>156.84460000000001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16">SUM(C7:C18)</f>
        <v>191.97369999999998</v>
      </c>
      <c r="D19" s="54">
        <f t="shared" si="16"/>
        <v>186.51860000000002</v>
      </c>
      <c r="E19" s="54">
        <f t="shared" si="16"/>
        <v>191.37660000000002</v>
      </c>
      <c r="F19" s="54">
        <f t="shared" si="16"/>
        <v>201.57329999999996</v>
      </c>
      <c r="G19" s="54">
        <f t="shared" ref="G19:H19" si="17">SUM(G7:G18)</f>
        <v>220.32990000000001</v>
      </c>
      <c r="H19" s="54">
        <f t="shared" si="17"/>
        <v>197.26389999999998</v>
      </c>
      <c r="I19" s="54">
        <f t="shared" ref="I19:J19" si="18">SUM(I7:I18)</f>
        <v>152.19729999999998</v>
      </c>
      <c r="J19" s="186">
        <f t="shared" si="18"/>
        <v>156.84460000000001</v>
      </c>
      <c r="K19" s="186"/>
      <c r="L19" s="56"/>
      <c r="M19" s="3"/>
      <c r="N19" s="43" t="s">
        <v>14</v>
      </c>
      <c r="O19" s="46">
        <f t="shared" ref="O19" si="19">+AVERAGE(O7:O18)</f>
        <v>200.06799775000002</v>
      </c>
      <c r="P19" s="46">
        <f>+AVERAGE(P7:P18)</f>
        <v>199.72938875</v>
      </c>
      <c r="Q19" s="46">
        <f t="shared" ref="Q19:U19" si="20">+AVERAGE(Q7:Q18)</f>
        <v>188.37522499999997</v>
      </c>
      <c r="R19" s="46">
        <f t="shared" si="20"/>
        <v>190.15820000000005</v>
      </c>
      <c r="S19" s="46">
        <f t="shared" si="20"/>
        <v>195.46136666666663</v>
      </c>
      <c r="T19" s="46">
        <f t="shared" si="20"/>
        <v>212.30100000000002</v>
      </c>
      <c r="U19" s="226">
        <f t="shared" si="20"/>
        <v>211.02498333333332</v>
      </c>
      <c r="V19" s="226">
        <f t="shared" ref="V19:W19" si="21">+AVERAGE(V7:V18)</f>
        <v>172.4342</v>
      </c>
      <c r="W19" s="220">
        <f t="shared" si="21"/>
        <v>151.97121666666669</v>
      </c>
      <c r="X19" s="197">
        <f t="shared" ref="X19" si="22">+AVERAGE(X7:X18)</f>
        <v>155.95687500000003</v>
      </c>
      <c r="Y19" s="79">
        <f>+X19/W19-1</f>
        <v>2.6226402740957555E-2</v>
      </c>
      <c r="Z19" s="75">
        <f>+POWER(X19/S19,0.2)-1</f>
        <v>-4.4152257749253909E-2</v>
      </c>
    </row>
    <row r="20" spans="1:26" ht="25.5" x14ac:dyDescent="0.25">
      <c r="A20" s="57" t="s">
        <v>15</v>
      </c>
      <c r="B20" s="195">
        <f t="shared" ref="B20:G20" si="23">+B19/B$55</f>
        <v>0.79732120318830846</v>
      </c>
      <c r="C20" s="58">
        <f t="shared" si="23"/>
        <v>0.85985875780865417</v>
      </c>
      <c r="D20" s="58">
        <f t="shared" si="23"/>
        <v>0.67736936700062089</v>
      </c>
      <c r="E20" s="58">
        <f t="shared" si="23"/>
        <v>0.61268980018875974</v>
      </c>
      <c r="F20" s="58">
        <f t="shared" si="23"/>
        <v>0.51050950582668264</v>
      </c>
      <c r="G20" s="58">
        <f t="shared" si="23"/>
        <v>0.65516716389772467</v>
      </c>
      <c r="H20" s="58">
        <f t="shared" ref="H20:I20" si="24">+H19/H$55</f>
        <v>0.74470541378731037</v>
      </c>
      <c r="I20" s="58">
        <f t="shared" si="24"/>
        <v>0.76046748094425543</v>
      </c>
      <c r="J20" s="189">
        <f t="shared" ref="J20" si="25">+J19/J$55</f>
        <v>0.74889285617085577</v>
      </c>
      <c r="K20" s="189"/>
      <c r="L20" s="59"/>
      <c r="M20" s="3"/>
      <c r="N20" s="44" t="s">
        <v>15</v>
      </c>
      <c r="O20" s="48">
        <f t="shared" ref="O20:T20" si="26">+O19/O$55</f>
        <v>0.76685305332860354</v>
      </c>
      <c r="P20" s="48">
        <f t="shared" si="26"/>
        <v>0.83194539708175452</v>
      </c>
      <c r="Q20" s="48">
        <f t="shared" si="26"/>
        <v>0.7937989504378582</v>
      </c>
      <c r="R20" s="48">
        <f t="shared" si="26"/>
        <v>0.63430349860640234</v>
      </c>
      <c r="S20" s="48">
        <f t="shared" si="26"/>
        <v>0.5160766095311653</v>
      </c>
      <c r="T20" s="48">
        <f t="shared" si="26"/>
        <v>0.60100457597387735</v>
      </c>
      <c r="U20" s="58">
        <f t="shared" ref="U20:V20" si="27">+U19/U$55</f>
        <v>0.70299327246794896</v>
      </c>
      <c r="V20" s="58">
        <f t="shared" si="27"/>
        <v>0.75960482099212367</v>
      </c>
      <c r="W20" s="189">
        <f t="shared" ref="W20:X20" si="28">+W19/W$55</f>
        <v>0.75863663815721571</v>
      </c>
      <c r="X20" s="188">
        <f t="shared" si="28"/>
        <v>0.75150650052174295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29">+D19/C19-1</f>
        <v>-2.8415871549071325E-2</v>
      </c>
      <c r="E21" s="62">
        <f t="shared" si="29"/>
        <v>2.6045659789425857E-2</v>
      </c>
      <c r="F21" s="62">
        <f t="shared" si="29"/>
        <v>5.328080862550566E-2</v>
      </c>
      <c r="G21" s="62">
        <f t="shared" si="29"/>
        <v>9.3051014196821047E-2</v>
      </c>
      <c r="H21" s="62">
        <f t="shared" si="29"/>
        <v>-0.10468846942698218</v>
      </c>
      <c r="I21" s="62">
        <f t="shared" si="29"/>
        <v>-0.2284584254899148</v>
      </c>
      <c r="J21" s="190">
        <f t="shared" si="29"/>
        <v>3.0534707251705706E-2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30">+Q19/P19-1</f>
        <v>-5.6847736935759396E-2</v>
      </c>
      <c r="R21" s="50">
        <f t="shared" si="30"/>
        <v>9.4650185553863952E-3</v>
      </c>
      <c r="S21" s="50">
        <f t="shared" si="30"/>
        <v>2.7888182926987026E-2</v>
      </c>
      <c r="T21" s="50">
        <f t="shared" si="30"/>
        <v>8.6153256884011986E-2</v>
      </c>
      <c r="U21" s="62">
        <f t="shared" si="30"/>
        <v>-6.0104128886189212E-3</v>
      </c>
      <c r="V21" s="62">
        <f t="shared" si="30"/>
        <v>-0.18287305476231519</v>
      </c>
      <c r="W21" s="190">
        <f t="shared" si="30"/>
        <v>-0.11867125740330697</v>
      </c>
      <c r="X21" s="187">
        <f t="shared" si="30"/>
        <v>2.6226402740957555E-2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25" t="s">
        <v>37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38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2">+P24+1</f>
        <v>2018</v>
      </c>
      <c r="R24" s="64">
        <f t="shared" si="32"/>
        <v>2019</v>
      </c>
      <c r="S24" s="64">
        <f t="shared" si="32"/>
        <v>2020</v>
      </c>
      <c r="T24" s="64">
        <f t="shared" ref="T24" si="33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34">+SUM(C25)+SUM(B26:B36)</f>
        <v>52.015313999999996</v>
      </c>
      <c r="Q25" s="6">
        <f t="shared" si="34"/>
        <v>28.141000000000002</v>
      </c>
      <c r="R25" s="6">
        <f t="shared" si="34"/>
        <v>99.095399999999984</v>
      </c>
      <c r="S25" s="6">
        <f t="shared" si="34"/>
        <v>137.75839999999999</v>
      </c>
      <c r="T25" s="6">
        <f t="shared" si="34"/>
        <v>172.85930000000002</v>
      </c>
      <c r="U25" s="6">
        <f t="shared" si="34"/>
        <v>112.75760000000001</v>
      </c>
      <c r="V25" s="6">
        <f t="shared" si="34"/>
        <v>67.775300000000001</v>
      </c>
      <c r="W25" s="67">
        <f t="shared" si="34"/>
        <v>46.557499999999997</v>
      </c>
      <c r="X25" s="37">
        <f t="shared" si="34"/>
        <v>51.3767</v>
      </c>
      <c r="Y25" s="78">
        <f>+X25/W25-1</f>
        <v>0.10351071255973809</v>
      </c>
      <c r="Z25" s="7">
        <f>+POWER(X25/S25,0.2)-1</f>
        <v>-0.17902558463260321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>+K26/J26-1</f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35">+SUM(C25:C26)+SUM(B27:B36)</f>
        <v>48.693307999999995</v>
      </c>
      <c r="Q26" s="6">
        <f t="shared" si="35"/>
        <v>28.399500000000003</v>
      </c>
      <c r="R26" s="6">
        <f t="shared" si="35"/>
        <v>103.60830000000001</v>
      </c>
      <c r="S26" s="6">
        <f t="shared" si="35"/>
        <v>159.25029999999998</v>
      </c>
      <c r="T26" s="6">
        <f t="shared" si="35"/>
        <v>154.03870000000001</v>
      </c>
      <c r="U26" s="6">
        <f t="shared" si="35"/>
        <v>109.405</v>
      </c>
      <c r="V26" s="6">
        <f t="shared" si="35"/>
        <v>65.003699999999995</v>
      </c>
      <c r="W26" s="67">
        <f t="shared" ref="W26" si="36">+SUM(J25:J26)+SUM(I27:I36)</f>
        <v>46.068200000000004</v>
      </c>
      <c r="X26" s="37">
        <f t="shared" ref="X26" si="37">+SUM(K25:K26)+SUM(J27:J36)</f>
        <v>51.815499999999993</v>
      </c>
      <c r="Y26" s="78">
        <f>+X26/W26-1</f>
        <v>0.12475633951402454</v>
      </c>
      <c r="Z26" s="7">
        <f>+POWER(X26/S26,0.2)-1</f>
        <v>-0.20113041490299854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>+K27/J27-1</f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38">+SUM(C25:C27)+SUM(B28:B36)</f>
        <v>46.602707999999993</v>
      </c>
      <c r="Q27" s="6">
        <f t="shared" si="38"/>
        <v>29.247500000000002</v>
      </c>
      <c r="R27" s="6">
        <f t="shared" si="38"/>
        <v>107.73239999999998</v>
      </c>
      <c r="S27" s="6">
        <f t="shared" si="38"/>
        <v>167.95459999999997</v>
      </c>
      <c r="T27" s="6">
        <f t="shared" si="38"/>
        <v>150.0264</v>
      </c>
      <c r="U27" s="6">
        <f t="shared" si="38"/>
        <v>105.4346</v>
      </c>
      <c r="V27" s="6">
        <f t="shared" si="38"/>
        <v>61.590999999999994</v>
      </c>
      <c r="W27" s="67">
        <f t="shared" ref="W27" si="39">+SUM(J25:J27)+SUM(I28:I36)</f>
        <v>45.463099999999997</v>
      </c>
      <c r="X27" s="37">
        <f t="shared" ref="X27" si="40">+SUM(K25:K27)+SUM(J28:J36)</f>
        <v>52.0642</v>
      </c>
      <c r="Y27" s="78">
        <f>+X27/W27-1</f>
        <v>0.14519687394832292</v>
      </c>
      <c r="Z27" s="7">
        <f>+POWER(X27/S27,0.2)-1</f>
        <v>-0.20883064083629665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>+K28/J28-1</f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41">+SUM(C25:C28)+SUM(B29:B36)</f>
        <v>44.121337999999994</v>
      </c>
      <c r="Q28" s="6">
        <f t="shared" si="41"/>
        <v>31.526899999999998</v>
      </c>
      <c r="R28" s="6">
        <f t="shared" si="41"/>
        <v>109.5654</v>
      </c>
      <c r="S28" s="6">
        <f t="shared" si="41"/>
        <v>174.63549999999998</v>
      </c>
      <c r="T28" s="6">
        <f t="shared" si="41"/>
        <v>151.34570000000002</v>
      </c>
      <c r="U28" s="6">
        <f t="shared" si="41"/>
        <v>100.2556</v>
      </c>
      <c r="V28" s="6">
        <f t="shared" si="41"/>
        <v>56.852600000000002</v>
      </c>
      <c r="W28" s="67">
        <f t="shared" ref="W28" si="42">+SUM(J25:J28)+SUM(I29:I36)</f>
        <v>46.32</v>
      </c>
      <c r="X28" s="37">
        <f t="shared" ref="X28" si="43">+SUM(K25:K28)+SUM(J29:J36)</f>
        <v>51.018699999999995</v>
      </c>
      <c r="Y28" s="78">
        <f t="shared" ref="Y28" si="44">+X28/W28-1</f>
        <v>0.1014399827288428</v>
      </c>
      <c r="Z28" s="7">
        <f t="shared" ref="Z28" si="45">+POWER(X28/S28,0.2)-1</f>
        <v>-0.21815732573891566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3.5038999999999998</v>
      </c>
      <c r="K29" s="37"/>
      <c r="L29" s="7"/>
      <c r="M29" s="2"/>
      <c r="N29" s="42" t="s">
        <v>2</v>
      </c>
      <c r="O29" s="6">
        <f>+SUM('[1]4.EXPORTACIONES POR ENVASE'!C309:C320)/10000</f>
        <v>55.852148</v>
      </c>
      <c r="P29" s="6">
        <f t="shared" ref="P29:V29" si="46">+SUM(C25:C29)+SUM(B30:B36)</f>
        <v>41.016918000000004</v>
      </c>
      <c r="Q29" s="6">
        <f t="shared" si="46"/>
        <v>34.0334</v>
      </c>
      <c r="R29" s="6">
        <f t="shared" si="46"/>
        <v>110.97560000000001</v>
      </c>
      <c r="S29" s="6">
        <f t="shared" si="46"/>
        <v>183.54849999999999</v>
      </c>
      <c r="T29" s="6">
        <f t="shared" si="46"/>
        <v>149.09029999999998</v>
      </c>
      <c r="U29" s="6">
        <f t="shared" si="46"/>
        <v>93.658999999999992</v>
      </c>
      <c r="V29" s="6">
        <f t="shared" si="46"/>
        <v>55.373900000000006</v>
      </c>
      <c r="W29" s="67">
        <f t="shared" ref="W29" si="47">+SUM(J25:J29)+SUM(I30:I36)</f>
        <v>45.753900000000002</v>
      </c>
      <c r="X29" s="37"/>
      <c r="Y29" s="78"/>
      <c r="Z29" s="7"/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2.4940000000000002</v>
      </c>
      <c r="K30" s="37"/>
      <c r="L30" s="7"/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48">+SUM(C25:C30)+SUM(B31:B36)</f>
        <v>39.987917999999993</v>
      </c>
      <c r="Q30" s="6">
        <f t="shared" si="48"/>
        <v>33.272000000000006</v>
      </c>
      <c r="R30" s="6">
        <f t="shared" si="48"/>
        <v>115.56800000000001</v>
      </c>
      <c r="S30" s="6">
        <f t="shared" si="48"/>
        <v>188.904</v>
      </c>
      <c r="T30" s="6">
        <f t="shared" si="48"/>
        <v>147.63259999999997</v>
      </c>
      <c r="U30" s="6">
        <f t="shared" si="48"/>
        <v>88.863200000000006</v>
      </c>
      <c r="V30" s="6">
        <f t="shared" si="48"/>
        <v>52.032800000000002</v>
      </c>
      <c r="W30" s="67">
        <f t="shared" ref="W30" si="49">+SUM(J25:J30)+SUM(I31:I36)</f>
        <v>45.847999999999999</v>
      </c>
      <c r="X30" s="37"/>
      <c r="Y30" s="78"/>
      <c r="Z30" s="7"/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/>
      <c r="L31" s="7"/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50">+SUM(C25:C31)+SUM(B32:B36)</f>
        <v>38.562938000000003</v>
      </c>
      <c r="Q31" s="6">
        <f t="shared" si="50"/>
        <v>36.476399999999998</v>
      </c>
      <c r="R31" s="6">
        <f t="shared" si="50"/>
        <v>119.5239</v>
      </c>
      <c r="S31" s="6">
        <f t="shared" si="50"/>
        <v>193.96609999999998</v>
      </c>
      <c r="T31" s="6">
        <f t="shared" si="50"/>
        <v>141.536</v>
      </c>
      <c r="U31" s="6">
        <f t="shared" si="50"/>
        <v>83.612499999999983</v>
      </c>
      <c r="V31" s="6">
        <f t="shared" si="50"/>
        <v>52.153599999999997</v>
      </c>
      <c r="W31" s="67">
        <f t="shared" ref="W31" si="51">+SUM(J25:J31)+SUM(I32:I36)</f>
        <v>48.583399999999997</v>
      </c>
      <c r="X31" s="37"/>
      <c r="Y31" s="78"/>
      <c r="Z31" s="7"/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/>
      <c r="L32" s="7"/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52">+SUM(C25:C32)+SUM(B33:B36)</f>
        <v>36.833100000000002</v>
      </c>
      <c r="Q32" s="6">
        <f t="shared" si="52"/>
        <v>49.305500000000002</v>
      </c>
      <c r="R32" s="6">
        <f t="shared" si="52"/>
        <v>114.76990000000001</v>
      </c>
      <c r="S32" s="6">
        <f t="shared" si="52"/>
        <v>197.07490000000001</v>
      </c>
      <c r="T32" s="6">
        <f t="shared" si="52"/>
        <v>134.8725</v>
      </c>
      <c r="U32" s="6">
        <f t="shared" si="52"/>
        <v>80.335099999999983</v>
      </c>
      <c r="V32" s="6">
        <f t="shared" si="52"/>
        <v>50.497599999999998</v>
      </c>
      <c r="W32" s="67">
        <f t="shared" ref="W32" si="53">+SUM(J25:J32)+SUM(I33:I36)</f>
        <v>50.746899999999997</v>
      </c>
      <c r="X32" s="37"/>
      <c r="Y32" s="78"/>
      <c r="Z32" s="7"/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/>
      <c r="L33" s="7"/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54">+SUM(C25:C33)+SUM(B34:B36)</f>
        <v>36.205100000000002</v>
      </c>
      <c r="Q33" s="6">
        <f t="shared" si="54"/>
        <v>65.413499999999999</v>
      </c>
      <c r="R33" s="6">
        <f t="shared" si="54"/>
        <v>105.6328</v>
      </c>
      <c r="S33" s="6">
        <f t="shared" si="54"/>
        <v>199.23050000000001</v>
      </c>
      <c r="T33" s="6">
        <f t="shared" si="54"/>
        <v>130.26900000000001</v>
      </c>
      <c r="U33" s="6">
        <f t="shared" si="54"/>
        <v>79.449799999999996</v>
      </c>
      <c r="V33" s="6">
        <f t="shared" si="54"/>
        <v>49.231400000000001</v>
      </c>
      <c r="W33" s="67">
        <f t="shared" ref="W33" si="55">+SUM(J25:J33)+SUM(I34:I36)</f>
        <v>49.654400000000003</v>
      </c>
      <c r="X33" s="37"/>
      <c r="Y33" s="78"/>
      <c r="Z33" s="7"/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56">+SUM(C25:C34)+SUM(B35:B36)</f>
        <v>34.583300000000001</v>
      </c>
      <c r="Q34" s="6">
        <f t="shared" si="56"/>
        <v>78.8005</v>
      </c>
      <c r="R34" s="6">
        <f t="shared" si="56"/>
        <v>102.10210000000002</v>
      </c>
      <c r="S34" s="6">
        <f t="shared" si="56"/>
        <v>199.75980000000001</v>
      </c>
      <c r="T34" s="6">
        <f t="shared" si="56"/>
        <v>124.6289</v>
      </c>
      <c r="U34" s="6">
        <f t="shared" si="56"/>
        <v>76.281899999999993</v>
      </c>
      <c r="V34" s="6">
        <f t="shared" si="56"/>
        <v>49.097899999999996</v>
      </c>
      <c r="W34" s="67">
        <f t="shared" ref="W34" si="57">+SUM(J25:J34)+SUM(I35:I36)</f>
        <v>50.730400000000003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58">+SUM(C25:C35)+SUM(B36)</f>
        <v>34.238599999999998</v>
      </c>
      <c r="Q35" s="6">
        <f t="shared" si="58"/>
        <v>83.744199999999992</v>
      </c>
      <c r="R35" s="6">
        <f t="shared" si="58"/>
        <v>106.03630000000001</v>
      </c>
      <c r="S35" s="6">
        <f t="shared" si="58"/>
        <v>204.04540000000003</v>
      </c>
      <c r="T35" s="6">
        <f t="shared" si="58"/>
        <v>119.04559999999999</v>
      </c>
      <c r="U35" s="6">
        <f t="shared" si="58"/>
        <v>72.1892</v>
      </c>
      <c r="V35" s="6">
        <f t="shared" si="58"/>
        <v>47.302300000000002</v>
      </c>
      <c r="W35" s="67">
        <f t="shared" ref="W35" si="59">+SUM(J25:J35)+SUM(I36)</f>
        <v>51.886699999999998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60">+SUM(C25:C36)</f>
        <v>31.2882</v>
      </c>
      <c r="Q36" s="6">
        <f t="shared" si="60"/>
        <v>88.838699999999989</v>
      </c>
      <c r="R36" s="6">
        <f t="shared" si="60"/>
        <v>120.97820000000002</v>
      </c>
      <c r="S36" s="6">
        <f t="shared" si="60"/>
        <v>193.27400000000003</v>
      </c>
      <c r="T36" s="6">
        <f t="shared" si="60"/>
        <v>115.9658</v>
      </c>
      <c r="U36" s="6">
        <f t="shared" si="60"/>
        <v>67.624599999999987</v>
      </c>
      <c r="V36" s="6">
        <f t="shared" si="60"/>
        <v>47.9392</v>
      </c>
      <c r="W36" s="67">
        <f t="shared" ref="W36" si="61">+SUM(J25:J36)</f>
        <v>52.590699999999998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62">SUM(G25:G36)</f>
        <v>115.9658</v>
      </c>
      <c r="H37" s="54">
        <f t="shared" si="62"/>
        <v>67.624599999999987</v>
      </c>
      <c r="I37" s="54">
        <f t="shared" ref="I37:J37" si="63">SUM(I25:I36)</f>
        <v>47.9392</v>
      </c>
      <c r="J37" s="186">
        <f t="shared" si="63"/>
        <v>52.590699999999998</v>
      </c>
      <c r="K37" s="186"/>
      <c r="L37" s="56"/>
      <c r="M37" s="3"/>
      <c r="N37" s="43" t="s">
        <v>14</v>
      </c>
      <c r="O37" s="46">
        <f t="shared" ref="O37:X37" si="64">+AVERAGE(O25:O36)</f>
        <v>56.730109166666658</v>
      </c>
      <c r="P37" s="46">
        <f t="shared" si="64"/>
        <v>40.345728500000007</v>
      </c>
      <c r="Q37" s="46">
        <f t="shared" si="64"/>
        <v>48.933258333333328</v>
      </c>
      <c r="R37" s="46">
        <f t="shared" si="64"/>
        <v>109.63235833333334</v>
      </c>
      <c r="S37" s="46">
        <f t="shared" si="64"/>
        <v>183.2835</v>
      </c>
      <c r="T37" s="46">
        <f t="shared" si="64"/>
        <v>140.94256666666664</v>
      </c>
      <c r="U37" s="226">
        <f t="shared" si="64"/>
        <v>89.155674999999988</v>
      </c>
      <c r="V37" s="226">
        <f t="shared" si="64"/>
        <v>54.57094166666667</v>
      </c>
      <c r="W37" s="220">
        <f t="shared" si="64"/>
        <v>48.350266666666663</v>
      </c>
      <c r="X37" s="197">
        <f t="shared" si="64"/>
        <v>51.568774999999995</v>
      </c>
      <c r="Y37" s="79">
        <f>+X37/W37-1</f>
        <v>6.6566506355014932E-2</v>
      </c>
      <c r="Z37" s="75">
        <f>+POWER(X37/S37,0.2)-1</f>
        <v>-0.22401613857928993</v>
      </c>
    </row>
    <row r="38" spans="1:26" ht="25.5" x14ac:dyDescent="0.25">
      <c r="A38" s="57" t="s">
        <v>15</v>
      </c>
      <c r="B38" s="195">
        <f t="shared" ref="B38:G38" si="65">+B37/B$55</f>
        <v>0.2026787968116916</v>
      </c>
      <c r="C38" s="58">
        <f t="shared" si="65"/>
        <v>0.14014124219134566</v>
      </c>
      <c r="D38" s="58">
        <f t="shared" si="65"/>
        <v>0.32263063299937939</v>
      </c>
      <c r="E38" s="58">
        <f t="shared" si="65"/>
        <v>0.38731019981124032</v>
      </c>
      <c r="F38" s="58">
        <f t="shared" si="65"/>
        <v>0.48949049417331714</v>
      </c>
      <c r="G38" s="58">
        <f t="shared" si="65"/>
        <v>0.3448328361022755</v>
      </c>
      <c r="H38" s="58">
        <f t="shared" ref="H38" si="66">+H37/H$55</f>
        <v>0.25529458621268941</v>
      </c>
      <c r="I38" s="58">
        <f t="shared" ref="I38:J38" si="67">+I37/I$55</f>
        <v>0.23953251905574444</v>
      </c>
      <c r="J38" s="189">
        <f t="shared" si="67"/>
        <v>0.2511071438291444</v>
      </c>
      <c r="K38" s="189"/>
      <c r="L38" s="59"/>
      <c r="M38" s="3"/>
      <c r="N38" s="44" t="s">
        <v>15</v>
      </c>
      <c r="O38" s="48">
        <f t="shared" ref="O38:X38" si="68">+O37/O$55</f>
        <v>0.21744435851497057</v>
      </c>
      <c r="P38" s="48">
        <f t="shared" si="68"/>
        <v>0.16805460291824562</v>
      </c>
      <c r="Q38" s="48">
        <f t="shared" si="68"/>
        <v>0.20620104956214164</v>
      </c>
      <c r="R38" s="48">
        <f t="shared" si="68"/>
        <v>0.36569650139359799</v>
      </c>
      <c r="S38" s="48">
        <f t="shared" si="68"/>
        <v>0.48392339046883448</v>
      </c>
      <c r="T38" s="48">
        <f t="shared" si="68"/>
        <v>0.39899542402612287</v>
      </c>
      <c r="U38" s="58">
        <f t="shared" si="68"/>
        <v>0.29700672753205082</v>
      </c>
      <c r="V38" s="58">
        <f t="shared" si="68"/>
        <v>0.24039517900787638</v>
      </c>
      <c r="W38" s="189">
        <f t="shared" si="68"/>
        <v>0.24136336184278456</v>
      </c>
      <c r="X38" s="188">
        <f t="shared" si="68"/>
        <v>0.24849349947825727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69">+D37/C37-1</f>
        <v>1.8393675570982029</v>
      </c>
      <c r="E39" s="62">
        <f t="shared" si="69"/>
        <v>0.36177364144229962</v>
      </c>
      <c r="F39" s="62">
        <f t="shared" si="69"/>
        <v>0.59759361603991468</v>
      </c>
      <c r="G39" s="62">
        <f t="shared" si="69"/>
        <v>-0.39999275639765319</v>
      </c>
      <c r="H39" s="62">
        <f t="shared" si="69"/>
        <v>-0.41685738381488346</v>
      </c>
      <c r="I39" s="62">
        <f t="shared" si="69"/>
        <v>-0.29109820982305246</v>
      </c>
      <c r="J39" s="190">
        <f t="shared" si="69"/>
        <v>9.7029153594553108E-2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70">+Q37/P37-1</f>
        <v>0.2128485505803499</v>
      </c>
      <c r="R39" s="50">
        <f t="shared" si="70"/>
        <v>1.2404467241179358</v>
      </c>
      <c r="S39" s="50">
        <f t="shared" si="70"/>
        <v>0.67180112501760614</v>
      </c>
      <c r="T39" s="50">
        <f t="shared" ref="T39" si="71">+T37/S37-1</f>
        <v>-0.23101333908035016</v>
      </c>
      <c r="U39" s="62">
        <f t="shared" ref="U39" si="72">+U37/T37-1</f>
        <v>-0.36743258542427559</v>
      </c>
      <c r="V39" s="62">
        <f t="shared" ref="V39" si="73">+V37/U37-1</f>
        <v>-0.38791398678023947</v>
      </c>
      <c r="W39" s="190">
        <f t="shared" ref="W39:X39" si="74">+W37/V37-1</f>
        <v>-0.11399244378074846</v>
      </c>
      <c r="X39" s="187">
        <f t="shared" si="74"/>
        <v>6.6566506355014932E-2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28" t="s">
        <v>32</v>
      </c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30"/>
      <c r="M41" s="2"/>
      <c r="N41" s="328" t="s">
        <v>33</v>
      </c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30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76">+P42+1</f>
        <v>2018</v>
      </c>
      <c r="R42" s="64">
        <f t="shared" si="76"/>
        <v>2019</v>
      </c>
      <c r="S42" s="64">
        <f t="shared" si="76"/>
        <v>2020</v>
      </c>
      <c r="T42" s="64">
        <f t="shared" ref="T42" si="77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78">+SUM(C43)+SUM(B44:B54)</f>
        <v>260.89483099999995</v>
      </c>
      <c r="Q43" s="6">
        <f t="shared" si="78"/>
        <v>219.06570000000002</v>
      </c>
      <c r="R43" s="6">
        <f t="shared" si="78"/>
        <v>286.14449999999999</v>
      </c>
      <c r="S43" s="6">
        <f t="shared" si="78"/>
        <v>329.16419999999999</v>
      </c>
      <c r="T43" s="6">
        <f t="shared" si="78"/>
        <v>374.79590000000002</v>
      </c>
      <c r="U43" s="6">
        <f t="shared" si="78"/>
        <v>331.03660000000002</v>
      </c>
      <c r="V43" s="6">
        <f t="shared" si="78"/>
        <v>265.77260000000001</v>
      </c>
      <c r="W43" s="67">
        <f t="shared" si="78"/>
        <v>194.83960000000002</v>
      </c>
      <c r="X43" s="37">
        <f t="shared" si="78"/>
        <v>208.03409999999997</v>
      </c>
      <c r="Y43" s="78">
        <f>+X43/W43-1</f>
        <v>6.7719806445917241E-2</v>
      </c>
      <c r="Z43" s="7">
        <f>+POWER(X43/S43,0.2)-1</f>
        <v>-8.7685900784042037E-2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>+K44/J44-1</f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79">+SUM(C43:C44)+SUM(B45:B54)</f>
        <v>254.45822499999997</v>
      </c>
      <c r="Q44" s="6">
        <f t="shared" si="79"/>
        <v>220.55200000000002</v>
      </c>
      <c r="R44" s="6">
        <f t="shared" si="79"/>
        <v>291.56200000000001</v>
      </c>
      <c r="S44" s="6">
        <f t="shared" si="79"/>
        <v>350.54690000000005</v>
      </c>
      <c r="T44" s="6">
        <f t="shared" si="79"/>
        <v>358.67440000000005</v>
      </c>
      <c r="U44" s="6">
        <f t="shared" si="79"/>
        <v>327.07169999999996</v>
      </c>
      <c r="V44" s="6">
        <f t="shared" si="79"/>
        <v>259.14700000000005</v>
      </c>
      <c r="W44" s="67">
        <f t="shared" ref="W44" si="80">+SUM(J43:J44)+SUM(I45:I54)</f>
        <v>193.81199999999998</v>
      </c>
      <c r="X44" s="37">
        <f t="shared" ref="X44" si="81">+SUM(K43:K44)+SUM(J45:J54)</f>
        <v>208.47300000000001</v>
      </c>
      <c r="Y44" s="78">
        <f>+X44/W44-1</f>
        <v>7.5645470868677123E-2</v>
      </c>
      <c r="Z44" s="7">
        <f>+POWER(X44/S44,0.2)-1</f>
        <v>-9.8717918173876207E-2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>+K45/J45-1</f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82">+SUM(C43:C45)+SUM(B46:B54)</f>
        <v>250.43002499999994</v>
      </c>
      <c r="Q45" s="6">
        <f t="shared" si="82"/>
        <v>220.41969999999998</v>
      </c>
      <c r="R45" s="6">
        <f t="shared" si="82"/>
        <v>295.745</v>
      </c>
      <c r="S45" s="6">
        <f t="shared" si="82"/>
        <v>358.06360000000001</v>
      </c>
      <c r="T45" s="6">
        <f t="shared" si="82"/>
        <v>359.67930000000001</v>
      </c>
      <c r="U45" s="6">
        <f t="shared" si="82"/>
        <v>321.62840000000006</v>
      </c>
      <c r="V45" s="6">
        <f t="shared" si="82"/>
        <v>252.3579</v>
      </c>
      <c r="W45" s="67">
        <f t="shared" ref="W45" si="83">+SUM(J43:J45)+SUM(I46:I54)</f>
        <v>190.50119999999998</v>
      </c>
      <c r="X45" s="37">
        <f t="shared" ref="X45" si="84">+SUM(K43:K45)+SUM(J46:J54)</f>
        <v>208.1481</v>
      </c>
      <c r="Y45" s="78">
        <f>+X45/W45-1</f>
        <v>9.2634062147640028E-2</v>
      </c>
      <c r="Z45" s="7">
        <f>+POWER(X45/S45,0.2)-1</f>
        <v>-0.10281406744853883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>+K46/J46-1</f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85">+SUM(C43:C46)+SUM(B47:B54)</f>
        <v>245.311195</v>
      </c>
      <c r="Q46" s="6">
        <f t="shared" si="85"/>
        <v>221.22549999999998</v>
      </c>
      <c r="R46" s="6">
        <f t="shared" si="85"/>
        <v>299.99019999999996</v>
      </c>
      <c r="S46" s="6">
        <f t="shared" si="85"/>
        <v>365.7448</v>
      </c>
      <c r="T46" s="6">
        <f t="shared" si="85"/>
        <v>360.92189999999999</v>
      </c>
      <c r="U46" s="6">
        <f t="shared" si="85"/>
        <v>315.56140000000005</v>
      </c>
      <c r="V46" s="6">
        <f t="shared" si="85"/>
        <v>241.90269999999998</v>
      </c>
      <c r="W46" s="67">
        <f t="shared" ref="W46" si="86">+SUM(J43:J46)+SUM(I47:I54)</f>
        <v>195.21569999999997</v>
      </c>
      <c r="X46" s="37">
        <f t="shared" ref="X46" si="87">+SUM(K43:K46)+SUM(J47:J54)</f>
        <v>205.44740000000002</v>
      </c>
      <c r="Y46" s="78">
        <f t="shared" ref="Y46" si="88">+X46/W46-1</f>
        <v>5.2412280364745545E-2</v>
      </c>
      <c r="Z46" s="7">
        <f t="shared" ref="Z46" si="89">+POWER(X46/S46,0.2)-1</f>
        <v>-0.10894502801985695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18.427299999999999</v>
      </c>
      <c r="K47" s="37"/>
      <c r="L47" s="7"/>
      <c r="M47" s="2"/>
      <c r="N47" s="42" t="s">
        <v>2</v>
      </c>
      <c r="O47" s="6">
        <f>+SUM('[1]4.EXPORTACIONES POR ENVASE'!D309:D320)/10000</f>
        <v>256.17040900000001</v>
      </c>
      <c r="P47" s="6">
        <f t="shared" ref="P47:V47" si="90">+SUM(C43:C47)+SUM(B48:B54)</f>
        <v>239.94017500000001</v>
      </c>
      <c r="Q47" s="6">
        <f t="shared" si="90"/>
        <v>223.10049999999998</v>
      </c>
      <c r="R47" s="6">
        <f t="shared" si="90"/>
        <v>303.63839999999999</v>
      </c>
      <c r="S47" s="6">
        <f t="shared" si="90"/>
        <v>374.46590000000003</v>
      </c>
      <c r="T47" s="6">
        <f t="shared" si="90"/>
        <v>359.69569999999999</v>
      </c>
      <c r="U47" s="6">
        <f t="shared" si="90"/>
        <v>308.19140000000004</v>
      </c>
      <c r="V47" s="6">
        <f t="shared" si="90"/>
        <v>235.60320000000002</v>
      </c>
      <c r="W47" s="67">
        <f t="shared" ref="W47" si="91">+SUM(J43:J47)+SUM(I48:I54)</f>
        <v>196.261</v>
      </c>
      <c r="X47" s="37"/>
      <c r="Y47" s="78"/>
      <c r="Z47" s="7"/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12.4465</v>
      </c>
      <c r="K48" s="37"/>
      <c r="L48" s="7"/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92">+SUM(C43:C48)+SUM(B49:B54)</f>
        <v>240.962118</v>
      </c>
      <c r="Q48" s="6">
        <f t="shared" si="92"/>
        <v>219.79549999999998</v>
      </c>
      <c r="R48" s="6">
        <f t="shared" si="92"/>
        <v>307.76959999999997</v>
      </c>
      <c r="S48" s="6">
        <f t="shared" si="92"/>
        <v>382.36890000000005</v>
      </c>
      <c r="T48" s="6">
        <f t="shared" si="92"/>
        <v>361.95859999999999</v>
      </c>
      <c r="U48" s="6">
        <f t="shared" si="92"/>
        <v>302.66629999999998</v>
      </c>
      <c r="V48" s="6">
        <f t="shared" si="92"/>
        <v>223.49060000000003</v>
      </c>
      <c r="W48" s="67">
        <f t="shared" ref="W48" si="93">+SUM(J43:J48)+SUM(I49:I54)</f>
        <v>194.73919999999998</v>
      </c>
      <c r="X48" s="37"/>
      <c r="Y48" s="78"/>
      <c r="Z48" s="7"/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/>
      <c r="L49" s="7"/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94">+SUM(C43:C49)+SUM(B50:B54)</f>
        <v>240.43673800000002</v>
      </c>
      <c r="Q49" s="6">
        <f t="shared" si="94"/>
        <v>225.05840000000001</v>
      </c>
      <c r="R49" s="6">
        <f t="shared" si="94"/>
        <v>309.34969999999998</v>
      </c>
      <c r="S49" s="6">
        <f t="shared" si="94"/>
        <v>390.51780000000002</v>
      </c>
      <c r="T49" s="6">
        <f t="shared" si="94"/>
        <v>355.38159999999999</v>
      </c>
      <c r="U49" s="6">
        <f t="shared" si="94"/>
        <v>294.03829999999999</v>
      </c>
      <c r="V49" s="6">
        <f t="shared" si="94"/>
        <v>221.48390000000001</v>
      </c>
      <c r="W49" s="67">
        <f t="shared" ref="W49" si="95">+SUM(J43:J49)+SUM(I50:I54)</f>
        <v>201.67949999999999</v>
      </c>
      <c r="X49" s="37"/>
      <c r="Y49" s="78"/>
      <c r="Z49" s="7"/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/>
      <c r="L50" s="7"/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96">+SUM(C43:C50)+SUM(B51:B54)</f>
        <v>235.73770000000002</v>
      </c>
      <c r="Q50" s="6">
        <f t="shared" si="96"/>
        <v>236.99699999999999</v>
      </c>
      <c r="R50" s="6">
        <f t="shared" si="96"/>
        <v>303.65629999999999</v>
      </c>
      <c r="S50" s="6">
        <f t="shared" si="96"/>
        <v>393.00110000000006</v>
      </c>
      <c r="T50" s="6">
        <f t="shared" si="96"/>
        <v>350.04399999999998</v>
      </c>
      <c r="U50" s="6">
        <f t="shared" si="96"/>
        <v>291.91840000000002</v>
      </c>
      <c r="V50" s="6">
        <f t="shared" si="96"/>
        <v>212.4932</v>
      </c>
      <c r="W50" s="67">
        <f t="shared" ref="W50" si="97">+SUM(J43:J50)+SUM(I51:I54)</f>
        <v>206.22859999999997</v>
      </c>
      <c r="X50" s="37"/>
      <c r="Y50" s="78"/>
      <c r="Z50" s="7"/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/>
      <c r="L51" s="7"/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98">+SUM(C43:C51)+SUM(B52:B54)</f>
        <v>232.11310000000003</v>
      </c>
      <c r="Q51" s="6">
        <f t="shared" si="98"/>
        <v>251.20729999999998</v>
      </c>
      <c r="R51" s="6">
        <f t="shared" si="98"/>
        <v>295.96679999999998</v>
      </c>
      <c r="S51" s="6">
        <f t="shared" si="98"/>
        <v>400.00340000000006</v>
      </c>
      <c r="T51" s="6">
        <f t="shared" si="98"/>
        <v>345.41199999999998</v>
      </c>
      <c r="U51" s="6">
        <f t="shared" si="98"/>
        <v>288.83389999999997</v>
      </c>
      <c r="V51" s="6">
        <f t="shared" si="98"/>
        <v>206.53579999999999</v>
      </c>
      <c r="W51" s="67">
        <f t="shared" ref="W51" si="99">+SUM(J43:J51)+SUM(I52:I54)</f>
        <v>205.34899999999999</v>
      </c>
      <c r="X51" s="37"/>
      <c r="Y51" s="78"/>
      <c r="Z51" s="7"/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00">+SUM(C43:C52)+SUM(B53:B54)</f>
        <v>229.12110000000001</v>
      </c>
      <c r="Q52" s="6">
        <f t="shared" si="100"/>
        <v>264.60699999999997</v>
      </c>
      <c r="R52" s="6">
        <f t="shared" si="100"/>
        <v>293.89699999999999</v>
      </c>
      <c r="S52" s="6">
        <f t="shared" si="100"/>
        <v>400.43730000000005</v>
      </c>
      <c r="T52" s="6">
        <f t="shared" si="100"/>
        <v>339.6506</v>
      </c>
      <c r="U52" s="6">
        <f t="shared" si="100"/>
        <v>283.06180000000001</v>
      </c>
      <c r="V52" s="6">
        <f t="shared" si="100"/>
        <v>204.12139999999999</v>
      </c>
      <c r="W52" s="67">
        <f t="shared" ref="W52" si="101">+SUM(J43:J52)+SUM(I53:I54)</f>
        <v>207.029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02">+SUM(C43:C53)+SUM(B54)</f>
        <v>228.23430000000002</v>
      </c>
      <c r="Q53" s="6">
        <f t="shared" si="102"/>
        <v>270.31589999999994</v>
      </c>
      <c r="R53" s="6">
        <f t="shared" si="102"/>
        <v>297.41239999999999</v>
      </c>
      <c r="S53" s="6">
        <f t="shared" si="102"/>
        <v>405.77720000000005</v>
      </c>
      <c r="T53" s="6">
        <f t="shared" si="102"/>
        <v>336.41309999999999</v>
      </c>
      <c r="U53" s="6">
        <f t="shared" si="102"/>
        <v>273.27120000000002</v>
      </c>
      <c r="V53" s="6">
        <f t="shared" si="102"/>
        <v>201.01689999999999</v>
      </c>
      <c r="W53" s="67">
        <f t="shared" ref="W53" si="103">+SUM(J43:J53)+SUM(I54)</f>
        <v>208.76769999999999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04">+SUM(C43:C54)</f>
        <v>223.26190000000003</v>
      </c>
      <c r="Q54" s="6">
        <f t="shared" si="104"/>
        <v>275.35729999999995</v>
      </c>
      <c r="R54" s="6">
        <f t="shared" si="104"/>
        <v>312.35480000000001</v>
      </c>
      <c r="S54" s="6">
        <f t="shared" si="104"/>
        <v>394.84730000000008</v>
      </c>
      <c r="T54" s="6">
        <f t="shared" si="104"/>
        <v>336.29569999999995</v>
      </c>
      <c r="U54" s="6">
        <f t="shared" si="104"/>
        <v>264.88850000000002</v>
      </c>
      <c r="V54" s="6">
        <f t="shared" si="104"/>
        <v>200.13650000000001</v>
      </c>
      <c r="W54" s="67">
        <f t="shared" ref="W54" si="105">+SUM(J43:J54)</f>
        <v>209.43529999999998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06">SUM(C43:C54)</f>
        <v>223.26190000000003</v>
      </c>
      <c r="D55" s="54">
        <f t="shared" si="106"/>
        <v>275.35729999999995</v>
      </c>
      <c r="E55" s="54">
        <f t="shared" si="106"/>
        <v>312.35480000000001</v>
      </c>
      <c r="F55" s="54">
        <f t="shared" si="106"/>
        <v>394.84730000000008</v>
      </c>
      <c r="G55" s="54">
        <f t="shared" si="106"/>
        <v>336.29569999999995</v>
      </c>
      <c r="H55" s="54">
        <f t="shared" ref="H55:I55" si="107">SUM(H43:H54)</f>
        <v>264.88850000000002</v>
      </c>
      <c r="I55" s="54">
        <f t="shared" si="107"/>
        <v>200.13650000000001</v>
      </c>
      <c r="J55" s="186">
        <f t="shared" ref="J55" si="108">SUM(J43:J54)</f>
        <v>209.43529999999998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09">+AVERAGE(Q43:Q54)</f>
        <v>237.30848333333333</v>
      </c>
      <c r="R55" s="46">
        <f t="shared" si="109"/>
        <v>299.79055833333331</v>
      </c>
      <c r="S55" s="46">
        <f t="shared" si="109"/>
        <v>378.74486666666672</v>
      </c>
      <c r="T55" s="46">
        <f t="shared" si="109"/>
        <v>353.2435666666666</v>
      </c>
      <c r="U55" s="226">
        <f t="shared" si="109"/>
        <v>300.18065833333338</v>
      </c>
      <c r="V55" s="226">
        <f t="shared" si="109"/>
        <v>227.00514166666667</v>
      </c>
      <c r="W55" s="220">
        <f t="shared" si="109"/>
        <v>200.3214833333333</v>
      </c>
      <c r="X55" s="197">
        <f t="shared" si="109"/>
        <v>207.52564999999998</v>
      </c>
      <c r="Y55" s="79">
        <f>+X55/W55-1</f>
        <v>3.5963025766332812E-2</v>
      </c>
      <c r="Z55" s="75">
        <f>+POWER(X55/S55,0.2)-1</f>
        <v>-0.11336472565691547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10">+D55/C55-1</f>
        <v>0.23333761828596788</v>
      </c>
      <c r="E56" s="121">
        <f t="shared" si="110"/>
        <v>0.13436179102569668</v>
      </c>
      <c r="F56" s="121">
        <f t="shared" si="110"/>
        <v>0.26409871082499792</v>
      </c>
      <c r="G56" s="199">
        <f t="shared" ref="G56:J56" si="111">+G54/F54-1</f>
        <v>-4.4936422999487524E-3</v>
      </c>
      <c r="H56" s="124">
        <f t="shared" si="111"/>
        <v>-0.32230740837575567</v>
      </c>
      <c r="I56" s="199">
        <f t="shared" si="111"/>
        <v>-4.9949789228229124E-2</v>
      </c>
      <c r="J56" s="228">
        <f t="shared" si="111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12">+Q55/P55-1</f>
        <v>-1.1524034428714414E-2</v>
      </c>
      <c r="R56" s="50">
        <f t="shared" si="112"/>
        <v>0.26329473823417882</v>
      </c>
      <c r="S56" s="50">
        <f t="shared" si="112"/>
        <v>0.2633648930515855</v>
      </c>
      <c r="T56" s="50">
        <f t="shared" si="112"/>
        <v>-6.7331077578521525E-2</v>
      </c>
      <c r="U56" s="62">
        <f t="shared" si="112"/>
        <v>-0.15021620587192541</v>
      </c>
      <c r="V56" s="62">
        <f t="shared" si="112"/>
        <v>-0.24377159099108081</v>
      </c>
      <c r="W56" s="190">
        <f t="shared" si="112"/>
        <v>-0.11754649316496779</v>
      </c>
      <c r="X56" s="190">
        <f t="shared" si="112"/>
        <v>3.5963025766332812E-2</v>
      </c>
      <c r="Y56" s="73"/>
      <c r="Z56" s="52"/>
    </row>
    <row r="57" spans="1:26" ht="15.75" thickBot="1" x14ac:dyDescent="0.3"/>
    <row r="58" spans="1:26" ht="15.75" thickBot="1" x14ac:dyDescent="0.3">
      <c r="A58" s="335" t="s">
        <v>39</v>
      </c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7"/>
      <c r="M58" s="2"/>
      <c r="N58" s="335" t="s">
        <v>40</v>
      </c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7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13">+C59+1</f>
        <v>2018</v>
      </c>
      <c r="E59" s="82">
        <f t="shared" ref="E59" si="114">+D59+1</f>
        <v>2019</v>
      </c>
      <c r="F59" s="82">
        <f t="shared" ref="F59" si="115">+E59+1</f>
        <v>2020</v>
      </c>
      <c r="G59" s="82">
        <f t="shared" ref="G59" si="116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17">+P59+1</f>
        <v>2018</v>
      </c>
      <c r="R59" s="82">
        <f t="shared" ref="R59" si="118">+Q59+1</f>
        <v>2019</v>
      </c>
      <c r="S59" s="82">
        <f t="shared" ref="S59" si="119">+R59+1</f>
        <v>2020</v>
      </c>
      <c r="T59" s="82">
        <f t="shared" ref="T59" si="120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21">+SUM(D60)+SUM(C61:C71)</f>
        <v>763.17699999999991</v>
      </c>
      <c r="R60" s="6">
        <f t="shared" ref="R60" si="122">+SUM(E60)+SUM(D61:D71)</f>
        <v>755.69799999999998</v>
      </c>
      <c r="S60" s="6">
        <f t="shared" ref="S60" si="123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664.42700000000002</v>
      </c>
      <c r="Y60" s="117">
        <f>+X60/W60-1</f>
        <v>5.3448778848166123E-2</v>
      </c>
      <c r="Z60" s="113">
        <f>+POWER(X60/S60,0.2)-1</f>
        <v>-1.848536631261366E-2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24">+SUM(D60:D61)+SUM(C62:C71)</f>
        <v>769.625</v>
      </c>
      <c r="R61" s="6">
        <f t="shared" ref="R61" si="125">+SUM(E60:E61)+SUM(D62:D71)</f>
        <v>758.66199999999992</v>
      </c>
      <c r="S61" s="6">
        <f t="shared" ref="S61" si="126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27">+SUM(I60:I61)+SUM(H62:H71)</f>
        <v>760.68300000000011</v>
      </c>
      <c r="W61" s="105">
        <f t="shared" ref="W61" si="128">+SUM(J60:J61)+SUM(I62:I71)</f>
        <v>629.05000000000007</v>
      </c>
      <c r="X61" s="90">
        <f t="shared" ref="X61" si="129">+SUM(K60:K61)+SUM(J62:J71)</f>
        <v>666.66300000000001</v>
      </c>
      <c r="Y61" s="117">
        <f>+X61/W61-1</f>
        <v>5.9793339162228731E-2</v>
      </c>
      <c r="Z61" s="113">
        <f>+POWER(X61/S61,0.2)-1</f>
        <v>-1.6799038743799399E-2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30">+SUM(D60:D62)+SUM(C63:C71)</f>
        <v>767.91799999999989</v>
      </c>
      <c r="R62" s="6">
        <f t="shared" ref="R62" si="131">+SUM(E60:E62)+SUM(D63:D71)</f>
        <v>752.82400000000007</v>
      </c>
      <c r="S62" s="6">
        <f t="shared" ref="S62" si="132">+SUM(F60:F62)+SUM(E63:E71)</f>
        <v>720.08300000000008</v>
      </c>
      <c r="T62" s="6">
        <f t="shared" ref="T62" si="133">+SUM(G60:G62)+SUM(F63:F71)</f>
        <v>730.19999999999993</v>
      </c>
      <c r="U62" s="6">
        <f>+SUM(H60:H62)+SUM(G63:G71)</f>
        <v>813.96199999999999</v>
      </c>
      <c r="V62" s="6">
        <f t="shared" ref="V62" si="134">+SUM(I60:I62)+SUM(H63:H71)</f>
        <v>753.14799999999991</v>
      </c>
      <c r="W62" s="67">
        <f t="shared" ref="W62" si="135">+SUM(J60:J62)+SUM(I63:I71)</f>
        <v>618.79999999999995</v>
      </c>
      <c r="X62" s="37">
        <f t="shared" ref="X62" si="136">+SUM(K60:K62)+SUM(J63:J71)</f>
        <v>666.61</v>
      </c>
      <c r="Y62" s="78">
        <f>+X62/W62-1</f>
        <v>7.7262443438914197E-2</v>
      </c>
      <c r="Z62" s="7">
        <f>+POWER(X62/S62,0.2)-1</f>
        <v>-1.5313795991646173E-2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/>
      <c r="L63" s="91"/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37">+SUM(D60:D63)+SUM(C64:C71)</f>
        <v>764.98299999999995</v>
      </c>
      <c r="R63" s="6">
        <f t="shared" ref="R63" si="138">+SUM(E60:E63)+SUM(D64:D71)</f>
        <v>759.01700000000005</v>
      </c>
      <c r="S63" s="6">
        <f t="shared" ref="S63" si="139">+SUM(F60:F63)+SUM(E64:E71)</f>
        <v>717.09999999999991</v>
      </c>
      <c r="T63" s="6">
        <f t="shared" ref="T63" si="140">+SUM(G60:G63)+SUM(F64:F71)</f>
        <v>734.40899999999999</v>
      </c>
      <c r="U63" s="6">
        <f>+SUM(H60:H63)+SUM(G64:G71)</f>
        <v>815.39199999999994</v>
      </c>
      <c r="V63" s="6">
        <f t="shared" ref="V63" si="141">+SUM(I60:I63)+SUM(H64:H71)</f>
        <v>733.93100000000004</v>
      </c>
      <c r="W63" s="105">
        <f t="shared" ref="W63:X63" si="142">+SUM(J60:J63)+SUM(I64:I71)</f>
        <v>631.46199999999999</v>
      </c>
      <c r="X63" s="90">
        <f t="shared" si="142"/>
        <v>606.53200000000004</v>
      </c>
      <c r="Y63" s="78">
        <f>+X63/W63-1</f>
        <v>-3.9479810344882127E-2</v>
      </c>
      <c r="Z63" s="7">
        <f>+POWER(X63/S63,0.2)-1</f>
        <v>-3.2936929140384374E-2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60.97</v>
      </c>
      <c r="K64" s="104"/>
      <c r="L64" s="91"/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43">+SUM(D60:D64)+SUM(C65:C71)</f>
        <v>764.94799999999998</v>
      </c>
      <c r="R64" s="6">
        <f t="shared" ref="R64" si="144">+SUM(E60:E64)+SUM(D65:D71)</f>
        <v>761.67200000000003</v>
      </c>
      <c r="S64" s="6">
        <f t="shared" ref="S64" si="145">+SUM(F60:F64)+SUM(E65:E71)</f>
        <v>703.0150000000001</v>
      </c>
      <c r="T64" s="6">
        <f t="shared" ref="T64" si="146">+SUM(G60:G64)+SUM(F65:F71)</f>
        <v>747.08600000000001</v>
      </c>
      <c r="U64" s="6">
        <f>+SUM(H60:H64)+SUM(G65:G71)</f>
        <v>821.58400000000006</v>
      </c>
      <c r="V64" s="6">
        <f t="shared" ref="V64" si="147">+SUM(I60:I64)+SUM(H65:H71)</f>
        <v>716.03200000000004</v>
      </c>
      <c r="W64" s="105">
        <f t="shared" ref="W64" si="148">+SUM(J60:J64)+SUM(I65:I71)</f>
        <v>636.28399999999988</v>
      </c>
      <c r="X64" s="90"/>
      <c r="Y64" s="117"/>
      <c r="Z64" s="113"/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45.591000000000001</v>
      </c>
      <c r="K65" s="104"/>
      <c r="L65" s="91"/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49">+SUM(D60:D65)+SUM(C66:C71)</f>
        <v>758.0619999999999</v>
      </c>
      <c r="R65" s="6">
        <f t="shared" ref="R65" si="150">+SUM(E60:E65)+SUM(D66:D71)</f>
        <v>757.10000000000014</v>
      </c>
      <c r="S65" s="6">
        <f t="shared" ref="S65" si="151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52">+SUM(I60:I65)+SUM(H66:H71)</f>
        <v>691.67900000000009</v>
      </c>
      <c r="W65" s="105">
        <f t="shared" ref="W65" si="153">+SUM(J60:J65)+SUM(I66:I71)</f>
        <v>629.20100000000002</v>
      </c>
      <c r="X65" s="105"/>
      <c r="Y65" s="117"/>
      <c r="Z65" s="113"/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/>
      <c r="L66" s="91"/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54">+SUM(C60:C66)+SUM(B67:B71)</f>
        <v>775.05800000000011</v>
      </c>
      <c r="Q66" s="6">
        <f t="shared" si="154"/>
        <v>765.84799999999996</v>
      </c>
      <c r="R66" s="6">
        <f t="shared" si="154"/>
        <v>749.99099999999999</v>
      </c>
      <c r="S66" s="6">
        <f t="shared" si="154"/>
        <v>704.149</v>
      </c>
      <c r="T66" s="6">
        <f t="shared" si="154"/>
        <v>778.48500000000001</v>
      </c>
      <c r="U66" s="6">
        <f t="shared" si="154"/>
        <v>802.99499999999989</v>
      </c>
      <c r="V66" s="6">
        <f t="shared" ref="V66" si="155">+SUM(I60:I66)+SUM(H67:H71)</f>
        <v>688.471</v>
      </c>
      <c r="W66" s="105">
        <f t="shared" ref="W66" si="156">+SUM(J60:J66)+SUM(I67:I71)</f>
        <v>649.30200000000002</v>
      </c>
      <c r="X66" s="90"/>
      <c r="Y66" s="117"/>
      <c r="Z66" s="113"/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/>
      <c r="L67" s="91"/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57">+SUM(F60:F67)+SUM(E68:E71)</f>
        <v>690.25</v>
      </c>
      <c r="T67" s="6">
        <f t="shared" ref="T67" si="158">+SUM(G60:G67)+SUM(F68:F71)</f>
        <v>788.01</v>
      </c>
      <c r="U67" s="6">
        <f>+SUM(H60:H67)+SUM(G68:G71)</f>
        <v>813.54100000000005</v>
      </c>
      <c r="V67" s="6">
        <f t="shared" ref="V67" si="159">+SUM(I60:I67)+SUM(H68:H71)</f>
        <v>664.10599999999999</v>
      </c>
      <c r="W67" s="105">
        <f t="shared" ref="W67" si="160">+SUM(J60:J67)+SUM(I68:I71)</f>
        <v>658.80100000000004</v>
      </c>
      <c r="X67" s="90"/>
      <c r="Y67" s="117"/>
      <c r="Z67" s="113"/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/>
      <c r="L68" s="91"/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161">+SUM(C60:C68)+SUM(B69:B71)</f>
        <v>761.68400000000008</v>
      </c>
      <c r="Q68" s="6">
        <f t="shared" si="161"/>
        <v>760.52499999999998</v>
      </c>
      <c r="R68" s="6">
        <f t="shared" si="161"/>
        <v>744.49599999999998</v>
      </c>
      <c r="S68" s="6">
        <f t="shared" si="161"/>
        <v>701.48699999999997</v>
      </c>
      <c r="T68" s="6">
        <f t="shared" si="161"/>
        <v>799.995</v>
      </c>
      <c r="U68" s="6">
        <f t="shared" si="161"/>
        <v>802.96600000000001</v>
      </c>
      <c r="V68" s="6">
        <f t="shared" ref="V68" si="162">+SUM(I60:I68)+SUM(H69:H71)</f>
        <v>653.36799999999994</v>
      </c>
      <c r="W68" s="105">
        <f t="shared" ref="W68" si="163">+SUM(J60:J68)+SUM(I69:I71)</f>
        <v>660.40300000000002</v>
      </c>
      <c r="X68" s="90"/>
      <c r="Y68" s="117"/>
      <c r="Z68" s="113"/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164">+SUM(C60:C69)+SUM(B70:B71)</f>
        <v>765.67700000000002</v>
      </c>
      <c r="Q69" s="6">
        <f t="shared" si="164"/>
        <v>757.452</v>
      </c>
      <c r="R69" s="6">
        <f t="shared" si="164"/>
        <v>739.9129999999999</v>
      </c>
      <c r="S69" s="6">
        <f t="shared" si="164"/>
        <v>703.46299999999997</v>
      </c>
      <c r="T69" s="6">
        <f t="shared" si="164"/>
        <v>802.01700000000005</v>
      </c>
      <c r="U69" s="6">
        <f t="shared" si="164"/>
        <v>797.43100000000004</v>
      </c>
      <c r="V69" s="6">
        <f t="shared" ref="V69" si="165">+SUM(I60:I69)+SUM(H70:H71)</f>
        <v>647.02</v>
      </c>
      <c r="W69" s="105">
        <f t="shared" ref="W69" si="166">+SUM(J60:J69)+SUM(I70:I71)</f>
        <v>664.46300000000008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167">+SUM(C60:C70)+SUM(B71)</f>
        <v>765.65600000000006</v>
      </c>
      <c r="Q70" s="6">
        <f t="shared" si="167"/>
        <v>758.17700000000002</v>
      </c>
      <c r="R70" s="6">
        <f t="shared" si="167"/>
        <v>734.29499999999985</v>
      </c>
      <c r="S70" s="6">
        <f t="shared" si="167"/>
        <v>706.95099999999991</v>
      </c>
      <c r="T70" s="6">
        <f t="shared" si="167"/>
        <v>814.1160000000001</v>
      </c>
      <c r="U70" s="6">
        <f t="shared" si="167"/>
        <v>776.39400000000001</v>
      </c>
      <c r="V70" s="6">
        <f t="shared" ref="V70" si="168">+SUM(I60:I70)+SUM(H71)</f>
        <v>645.173</v>
      </c>
      <c r="W70" s="105">
        <f t="shared" ref="W70" si="169">+SUM(J60:J70)+SUM(I71)</f>
        <v>667.30700000000002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170">+SUM(C60:C71)</f>
        <v>763.95600000000002</v>
      </c>
      <c r="Q71" s="6">
        <f t="shared" si="170"/>
        <v>754.053</v>
      </c>
      <c r="R71" s="6">
        <f t="shared" si="170"/>
        <v>731.81399999999985</v>
      </c>
      <c r="S71" s="6">
        <f t="shared" si="170"/>
        <v>705.26699999999994</v>
      </c>
      <c r="T71" s="6">
        <f t="shared" si="170"/>
        <v>822.59800000000007</v>
      </c>
      <c r="U71" s="6">
        <f t="shared" si="170"/>
        <v>767.39300000000003</v>
      </c>
      <c r="V71" s="6">
        <f t="shared" ref="V71" si="171">+SUM(I60:I71)</f>
        <v>642.423</v>
      </c>
      <c r="W71" s="105">
        <f t="shared" ref="W71" si="172">+SUM(J60:J71)</f>
        <v>667.327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173">SUM(C60:C71)</f>
        <v>763.95600000000002</v>
      </c>
      <c r="D72" s="83">
        <f t="shared" si="173"/>
        <v>754.053</v>
      </c>
      <c r="E72" s="83">
        <f t="shared" si="173"/>
        <v>731.81399999999985</v>
      </c>
      <c r="F72" s="83">
        <f t="shared" si="173"/>
        <v>705.26699999999994</v>
      </c>
      <c r="G72" s="83">
        <f t="shared" ref="G72:H72" si="174">SUM(G60:G71)</f>
        <v>822.59800000000007</v>
      </c>
      <c r="H72" s="83">
        <f t="shared" si="174"/>
        <v>767.39300000000003</v>
      </c>
      <c r="I72" s="83">
        <f t="shared" ref="I72:J72" si="175">SUM(I60:I71)</f>
        <v>642.423</v>
      </c>
      <c r="J72" s="83">
        <f t="shared" si="175"/>
        <v>667.327</v>
      </c>
      <c r="K72" s="106"/>
      <c r="L72" s="94"/>
      <c r="M72" s="3"/>
      <c r="N72" s="92" t="s">
        <v>14</v>
      </c>
      <c r="O72" s="106">
        <f t="shared" ref="O72" si="176">+AVERAGE(O60:O71)</f>
        <v>753.00548916666651</v>
      </c>
      <c r="P72" s="83">
        <f>+AVERAGE(P60:P71)</f>
        <v>766.92178666666678</v>
      </c>
      <c r="Q72" s="83">
        <f t="shared" ref="Q72:V72" si="177">+AVERAGE(Q60:Q71)</f>
        <v>762.70949999999993</v>
      </c>
      <c r="R72" s="83">
        <f t="shared" si="177"/>
        <v>749.11141666666663</v>
      </c>
      <c r="S72" s="83">
        <f t="shared" si="177"/>
        <v>708.90483333333339</v>
      </c>
      <c r="T72" s="83">
        <f t="shared" si="177"/>
        <v>767.43916666666667</v>
      </c>
      <c r="U72" s="83">
        <f t="shared" si="177"/>
        <v>805.20375000000013</v>
      </c>
      <c r="V72" s="83">
        <f t="shared" si="177"/>
        <v>697.41949999999997</v>
      </c>
      <c r="W72" s="107">
        <f t="shared" ref="W72:X72" si="178">+AVERAGE(W60:W71)</f>
        <v>645.2596666666667</v>
      </c>
      <c r="X72" s="107">
        <f t="shared" si="178"/>
        <v>651.05800000000011</v>
      </c>
      <c r="Y72" s="119">
        <f>+X72/W72-1</f>
        <v>8.9860464443514143E-3</v>
      </c>
      <c r="Z72" s="173">
        <f>+POWER(X72/S72,0.2)-1</f>
        <v>-1.6880413685354867E-2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179">+C72/C$108</f>
        <v>0.94360872073131419</v>
      </c>
      <c r="D73" s="84">
        <f t="shared" si="179"/>
        <v>0.91831246978245817</v>
      </c>
      <c r="E73" s="84">
        <f t="shared" si="179"/>
        <v>0.91606258347739089</v>
      </c>
      <c r="F73" s="84">
        <f t="shared" si="179"/>
        <v>0.89132031023897285</v>
      </c>
      <c r="G73" s="84">
        <f t="shared" ref="G73:H73" si="180">+G72/G$108</f>
        <v>0.91664995163785012</v>
      </c>
      <c r="H73" s="84">
        <f t="shared" si="180"/>
        <v>0.93037406858691929</v>
      </c>
      <c r="I73" s="84">
        <f t="shared" ref="I73:J73" si="181">+I72/I$108</f>
        <v>0.93041406578127928</v>
      </c>
      <c r="J73" s="84">
        <f t="shared" si="181"/>
        <v>0.92711732776501932</v>
      </c>
      <c r="K73" s="108"/>
      <c r="L73" s="97"/>
      <c r="M73" s="3"/>
      <c r="N73" s="95" t="s">
        <v>15</v>
      </c>
      <c r="O73" s="108">
        <f t="shared" ref="O73:V73" si="182">+O72/O$108</f>
        <v>0.932439993468551</v>
      </c>
      <c r="P73" s="84">
        <f t="shared" si="182"/>
        <v>0.93793563280268333</v>
      </c>
      <c r="Q73" s="84">
        <f t="shared" si="182"/>
        <v>0.93639980225394503</v>
      </c>
      <c r="R73" s="84">
        <f t="shared" si="182"/>
        <v>0.91408651211126823</v>
      </c>
      <c r="S73" s="84">
        <f t="shared" si="182"/>
        <v>0.89844459925132236</v>
      </c>
      <c r="T73" s="84">
        <f t="shared" si="182"/>
        <v>0.90569617906550892</v>
      </c>
      <c r="U73" s="84">
        <f t="shared" si="182"/>
        <v>0.92452768446333988</v>
      </c>
      <c r="V73" s="84">
        <f t="shared" si="182"/>
        <v>0.93207672957221654</v>
      </c>
      <c r="W73" s="109">
        <f t="shared" ref="W73:X73" si="183">+W72/W$108</f>
        <v>0.92981876791192231</v>
      </c>
      <c r="X73" s="109">
        <f t="shared" si="183"/>
        <v>0.92830382916168519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184">+D72/C72-1</f>
        <v>-1.296278843284171E-2</v>
      </c>
      <c r="E74" s="85">
        <f t="shared" ref="E74" si="185">+E72/D72-1</f>
        <v>-2.949262187140711E-2</v>
      </c>
      <c r="F74" s="85">
        <f t="shared" ref="F74:J74" si="186">+F72/E72-1</f>
        <v>-3.6275611015913811E-2</v>
      </c>
      <c r="G74" s="85">
        <f t="shared" si="186"/>
        <v>0.16636394443522828</v>
      </c>
      <c r="H74" s="85">
        <f t="shared" si="186"/>
        <v>-6.7110544883406065E-2</v>
      </c>
      <c r="I74" s="85">
        <f t="shared" si="186"/>
        <v>-0.16285006509050781</v>
      </c>
      <c r="J74" s="85">
        <f t="shared" si="186"/>
        <v>3.8765735348827768E-2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187">+Q72/P72-1</f>
        <v>-5.4924592571232722E-3</v>
      </c>
      <c r="R74" s="85">
        <f t="shared" ref="R74" si="188">+R72/Q72-1</f>
        <v>-1.7828653416973705E-2</v>
      </c>
      <c r="S74" s="85">
        <f t="shared" ref="S74" si="189">+S72/R72-1</f>
        <v>-5.3672367606198201E-2</v>
      </c>
      <c r="T74" s="85">
        <f t="shared" ref="T74" si="190">+T72/S72-1</f>
        <v>8.2570086393824793E-2</v>
      </c>
      <c r="U74" s="85">
        <f t="shared" ref="U74" si="191">+U72/T72-1</f>
        <v>4.9208569191695029E-2</v>
      </c>
      <c r="V74" s="85">
        <f t="shared" ref="V74:X74" si="192">+V72/U72-1</f>
        <v>-0.13385959764842148</v>
      </c>
      <c r="W74" s="111">
        <f t="shared" si="192"/>
        <v>-7.4789754707651923E-2</v>
      </c>
      <c r="X74" s="111">
        <f t="shared" si="192"/>
        <v>8.9860464443514143E-3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35" t="s">
        <v>41</v>
      </c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7"/>
      <c r="M76" s="2"/>
      <c r="N76" s="335" t="s">
        <v>42</v>
      </c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7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193">+C77+1</f>
        <v>2018</v>
      </c>
      <c r="E77" s="82">
        <f t="shared" ref="E77" si="194">+D77+1</f>
        <v>2019</v>
      </c>
      <c r="F77" s="82">
        <f t="shared" ref="F77" si="195">+E77+1</f>
        <v>2020</v>
      </c>
      <c r="G77" s="82">
        <f t="shared" ref="G77" si="196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197">+P77+1</f>
        <v>2018</v>
      </c>
      <c r="R77" s="82">
        <f t="shared" ref="R77" si="198">+Q77+1</f>
        <v>2019</v>
      </c>
      <c r="S77" s="82">
        <f t="shared" ref="S77" si="199">+R77+1</f>
        <v>2020</v>
      </c>
      <c r="T77" s="82">
        <f t="shared" ref="T77" si="200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01">+SUM(D78)+SUM(C79:C89)</f>
        <v>41.323999999999998</v>
      </c>
      <c r="R78" s="6">
        <f t="shared" ref="R78" si="202">+SUM(E78)+SUM(D79:D89)</f>
        <v>71.009999999999991</v>
      </c>
      <c r="S78" s="6">
        <f t="shared" ref="S78" si="203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51.209000000000003</v>
      </c>
      <c r="Y78" s="117">
        <f>+X78/W78-1</f>
        <v>9.6482024709333425E-2</v>
      </c>
      <c r="Z78" s="113">
        <f>+POWER(X78/S78,0.2)-1</f>
        <v>-6.0556322637147164E-2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04">+SUM(D78:D79)+SUM(C80:C89)</f>
        <v>42.918999999999997</v>
      </c>
      <c r="R79" s="6">
        <f t="shared" ref="R79" si="205">+SUM(E78:E79)+SUM(D80:D89)</f>
        <v>71.216999999999999</v>
      </c>
      <c r="S79" s="6">
        <f t="shared" ref="S79" si="206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07">+SUM(I78:I79)+SUM(H80:H89)</f>
        <v>55.915999999999997</v>
      </c>
      <c r="W79" s="105">
        <f t="shared" ref="W79" si="208">+SUM(J78:J79)+SUM(I80:I89)</f>
        <v>46.932000000000002</v>
      </c>
      <c r="X79" s="90">
        <f t="shared" ref="X79" si="209">+SUM(K78:K79)+SUM(J80:J89)</f>
        <v>51.351999999999997</v>
      </c>
      <c r="Y79" s="117">
        <f>+X79/W79-1</f>
        <v>9.4178811898065096E-2</v>
      </c>
      <c r="Z79" s="113">
        <f>+POWER(X79/S79,0.2)-1</f>
        <v>-6.8631613620797505E-2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10">+SUM(D78:D80)+SUM(C81:C89)</f>
        <v>44.146000000000001</v>
      </c>
      <c r="R80" s="6">
        <f t="shared" ref="R80" si="211">+SUM(E78:E80)+SUM(D81:D89)</f>
        <v>72.753</v>
      </c>
      <c r="S80" s="6">
        <f t="shared" ref="S80" si="212">+SUM(F78:F80)+SUM(E81:E89)</f>
        <v>74.298000000000002</v>
      </c>
      <c r="T80" s="6">
        <f t="shared" ref="T80" si="213">+SUM(G78:G80)+SUM(F81:F89)</f>
        <v>80.295999999999992</v>
      </c>
      <c r="U80" s="6">
        <f>+SUM(H78:H80)+SUM(G81:G89)</f>
        <v>71.988000000000014</v>
      </c>
      <c r="V80" s="6">
        <f t="shared" ref="V80" si="214">+SUM(I78:I80)+SUM(H81:H89)</f>
        <v>54.347000000000001</v>
      </c>
      <c r="W80" s="67">
        <f t="shared" ref="W80" si="215">+SUM(J78:J80)+SUM(I81:I89)</f>
        <v>46.05</v>
      </c>
      <c r="X80" s="37">
        <f t="shared" ref="X80" si="216">+SUM(K78:K80)+SUM(J81:J89)</f>
        <v>51.610999999999997</v>
      </c>
      <c r="Y80" s="78">
        <f>+X80/W80-1</f>
        <v>0.12076004343105318</v>
      </c>
      <c r="Z80" s="7">
        <f>+POWER(X80/S80,0.2)-1</f>
        <v>-7.0278166259117869E-2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/>
      <c r="L81" s="91"/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17">+SUM(D78:D81)+SUM(C82:C89)</f>
        <v>46.423000000000002</v>
      </c>
      <c r="R81" s="6">
        <f t="shared" ref="R81" si="218">+SUM(E78:E81)+SUM(D82:D89)</f>
        <v>72.27000000000001</v>
      </c>
      <c r="S81" s="6">
        <f t="shared" ref="S81" si="219">+SUM(F78:F81)+SUM(E82:E89)</f>
        <v>75.545999999999992</v>
      </c>
      <c r="T81" s="6">
        <f t="shared" ref="T81" si="220">+SUM(G78:G81)+SUM(F82:F89)</f>
        <v>82.766999999999996</v>
      </c>
      <c r="U81" s="6">
        <f>+SUM(H78:H81)+SUM(G82:G89)</f>
        <v>70.272999999999996</v>
      </c>
      <c r="V81" s="6">
        <f t="shared" ref="V81" si="221">+SUM(I78:I81)+SUM(H82:H89)</f>
        <v>51.875</v>
      </c>
      <c r="W81" s="105">
        <f t="shared" ref="W81" si="222">+SUM(J78:J81)+SUM(I82:I89)</f>
        <v>46.989000000000004</v>
      </c>
      <c r="X81" s="90">
        <f t="shared" ref="X81" si="223">+SUM(K78:K81)+SUM(J82:J89)</f>
        <v>46.961999999999996</v>
      </c>
      <c r="Y81" s="117">
        <f>+X81/W81-1</f>
        <v>-5.746025665582799E-4</v>
      </c>
      <c r="Z81" s="113">
        <f>+POWER(X81/S81,0.2)-1</f>
        <v>-9.0700354071442058E-2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3.6880000000000002</v>
      </c>
      <c r="K82" s="104"/>
      <c r="L82" s="91"/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24">+SUM(D78:D82)+SUM(C83:C89)</f>
        <v>48.558999999999997</v>
      </c>
      <c r="R82" s="6">
        <f t="shared" ref="R82" si="225">+SUM(E78:E82)+SUM(D83:D89)</f>
        <v>72.22399999999999</v>
      </c>
      <c r="S82" s="6">
        <f t="shared" ref="S82" si="226">+SUM(F78:F82)+SUM(E83:E89)</f>
        <v>77.724999999999994</v>
      </c>
      <c r="T82" s="6">
        <f t="shared" ref="T82" si="227">+SUM(G78:G82)+SUM(F83:F89)</f>
        <v>84.507000000000005</v>
      </c>
      <c r="U82" s="6">
        <f>+SUM(H78:H82)+SUM(G83:G89)</f>
        <v>66.427999999999997</v>
      </c>
      <c r="V82" s="6">
        <f t="shared" ref="V82" si="228">+SUM(I78:I82)+SUM(H83:H89)</f>
        <v>51.716999999999999</v>
      </c>
      <c r="W82" s="105">
        <f t="shared" ref="W82" si="229">+SUM(J78:J82)+SUM(I83:I89)</f>
        <v>46.383000000000003</v>
      </c>
      <c r="X82" s="90"/>
      <c r="Y82" s="117"/>
      <c r="Z82" s="113"/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2.3370000000000002</v>
      </c>
      <c r="K83" s="104"/>
      <c r="L83" s="91"/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30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31">+SUM(I78:I83)+SUM(H84:H89)</f>
        <v>48.695</v>
      </c>
      <c r="W83" s="105">
        <f t="shared" ref="W83" si="232">+SUM(J78:J83)+SUM(I84:I89)</f>
        <v>46.289000000000001</v>
      </c>
      <c r="X83" s="105"/>
      <c r="Y83" s="117"/>
      <c r="Z83" s="113"/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/>
      <c r="L84" s="91"/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33">+SUM(C78:C84)+SUM(B85:B89)</f>
        <v>50.324610000000007</v>
      </c>
      <c r="Q84" s="6">
        <f t="shared" si="233"/>
        <v>49.039000000000001</v>
      </c>
      <c r="R84" s="6">
        <f t="shared" si="233"/>
        <v>73.459000000000003</v>
      </c>
      <c r="S84" s="6">
        <f t="shared" si="233"/>
        <v>82.415000000000006</v>
      </c>
      <c r="T84" s="6">
        <f t="shared" si="233"/>
        <v>82.75200000000001</v>
      </c>
      <c r="U84" s="6">
        <f t="shared" si="233"/>
        <v>62.551000000000002</v>
      </c>
      <c r="V84" s="6">
        <f t="shared" ref="V84" si="234">+SUM(I78:I84)+SUM(H85:H89)</f>
        <v>49.564999999999998</v>
      </c>
      <c r="W84" s="105">
        <f t="shared" ref="W84" si="235">+SUM(J78:J84)+SUM(I85:I89)</f>
        <v>48.762</v>
      </c>
      <c r="X84" s="90"/>
      <c r="Y84" s="117"/>
      <c r="Z84" s="113"/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/>
      <c r="L85" s="91"/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36">+SUM(F78:F85)+SUM(E86:E89)</f>
        <v>83.611000000000004</v>
      </c>
      <c r="T85" s="6">
        <f t="shared" ref="T85" si="237">+SUM(G78:G85)+SUM(F86:F89)</f>
        <v>78.921999999999997</v>
      </c>
      <c r="U85" s="6">
        <f>+SUM(H78:H85)+SUM(G86:G89)</f>
        <v>62.572000000000003</v>
      </c>
      <c r="V85" s="6">
        <f t="shared" ref="V85" si="238">+SUM(I78:I85)+SUM(H86:H89)</f>
        <v>48.338999999999999</v>
      </c>
      <c r="W85" s="105">
        <f t="shared" ref="W85" si="239">+SUM(J78:J85)+SUM(I86:I89)</f>
        <v>50.819000000000003</v>
      </c>
      <c r="X85" s="90"/>
      <c r="Y85" s="117"/>
      <c r="Z85" s="113"/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/>
      <c r="L86" s="91"/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40">+SUM(C78:C86)+SUM(B87:B89)</f>
        <v>50.186000000000007</v>
      </c>
      <c r="Q86" s="6">
        <f t="shared" si="240"/>
        <v>56.774000000000001</v>
      </c>
      <c r="R86" s="6">
        <f t="shared" si="240"/>
        <v>68.522999999999996</v>
      </c>
      <c r="S86" s="6">
        <f t="shared" si="240"/>
        <v>85.174999999999997</v>
      </c>
      <c r="T86" s="6">
        <f t="shared" si="240"/>
        <v>77.83</v>
      </c>
      <c r="U86" s="6">
        <f t="shared" si="240"/>
        <v>63.664000000000001</v>
      </c>
      <c r="V86" s="6">
        <f t="shared" ref="V86" si="241">+SUM(I78:I86)+SUM(H87:H89)</f>
        <v>47.634</v>
      </c>
      <c r="W86" s="105">
        <f t="shared" ref="W86" si="242">+SUM(J78:J86)+SUM(I87:I89)</f>
        <v>49.570999999999998</v>
      </c>
      <c r="X86" s="90"/>
      <c r="Y86" s="117"/>
      <c r="Z86" s="113"/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43">+SUM(C78:C87)+SUM(B88:B89)</f>
        <v>48.314000000000007</v>
      </c>
      <c r="Q87" s="6">
        <f t="shared" si="243"/>
        <v>61.71</v>
      </c>
      <c r="R87" s="6">
        <f t="shared" si="243"/>
        <v>64.951999999999998</v>
      </c>
      <c r="S87" s="6">
        <f t="shared" si="243"/>
        <v>86.085999999999984</v>
      </c>
      <c r="T87" s="6">
        <f t="shared" si="243"/>
        <v>75.586000000000013</v>
      </c>
      <c r="U87" s="6">
        <f t="shared" si="243"/>
        <v>61.962000000000003</v>
      </c>
      <c r="V87" s="6">
        <f t="shared" ref="V87" si="244">+SUM(I78:I87)+SUM(H88:H89)</f>
        <v>48.534999999999997</v>
      </c>
      <c r="W87" s="105">
        <f t="shared" ref="W87" si="245">+SUM(J78:J87)+SUM(I88:I89)</f>
        <v>51.188000000000002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246">+SUM(C78:C88)+SUM(B89)</f>
        <v>48.896999999999998</v>
      </c>
      <c r="Q88" s="6">
        <f t="shared" si="246"/>
        <v>64.774000000000001</v>
      </c>
      <c r="R88" s="6">
        <f t="shared" si="246"/>
        <v>64.7</v>
      </c>
      <c r="S88" s="6">
        <f t="shared" si="246"/>
        <v>87.171999999999997</v>
      </c>
      <c r="T88" s="6">
        <f t="shared" si="246"/>
        <v>74.811000000000007</v>
      </c>
      <c r="U88" s="6">
        <f t="shared" si="246"/>
        <v>61.039000000000001</v>
      </c>
      <c r="V88" s="6">
        <f t="shared" ref="V88" si="247">+SUM(I78:I88)+SUM(H89)</f>
        <v>46.742000000000004</v>
      </c>
      <c r="W88" s="105">
        <f t="shared" ref="W88" si="248">+SUM(J78:J88)+SUM(I89)</f>
        <v>52.292000000000002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249">+SUM(C78:C89)</f>
        <v>45.655000000000001</v>
      </c>
      <c r="Q89" s="6">
        <f t="shared" si="249"/>
        <v>67.075999999999993</v>
      </c>
      <c r="R89" s="6">
        <f t="shared" si="249"/>
        <v>67.055000000000007</v>
      </c>
      <c r="S89" s="6">
        <f t="shared" si="249"/>
        <v>85.994</v>
      </c>
      <c r="T89" s="6">
        <f t="shared" si="249"/>
        <v>74.798000000000002</v>
      </c>
      <c r="U89" s="6">
        <f t="shared" si="249"/>
        <v>57.429000000000002</v>
      </c>
      <c r="V89" s="6">
        <f t="shared" ref="V89" si="250">+SUM(I78:I89)</f>
        <v>48.047000000000004</v>
      </c>
      <c r="W89" s="105">
        <f t="shared" ref="W89" si="251">+SUM(J78:J89)</f>
        <v>52.46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52">SUM(G78:G89)</f>
        <v>74.798000000000002</v>
      </c>
      <c r="H90" s="83">
        <f t="shared" si="252"/>
        <v>57.429000000000002</v>
      </c>
      <c r="I90" s="83">
        <f t="shared" ref="I90:J90" si="253">SUM(I78:I89)</f>
        <v>48.047000000000004</v>
      </c>
      <c r="J90" s="83">
        <f t="shared" si="253"/>
        <v>52.46</v>
      </c>
      <c r="K90" s="106"/>
      <c r="L90" s="94"/>
      <c r="M90" s="3"/>
      <c r="N90" s="92" t="s">
        <v>14</v>
      </c>
      <c r="O90" s="106">
        <f t="shared" ref="O90:X90" si="254">+AVERAGE(O78:O89)</f>
        <v>54.559153333333335</v>
      </c>
      <c r="P90" s="83">
        <f t="shared" si="254"/>
        <v>50.748168333333332</v>
      </c>
      <c r="Q90" s="83">
        <f t="shared" si="254"/>
        <v>51.803166666666662</v>
      </c>
      <c r="R90" s="83">
        <f t="shared" si="254"/>
        <v>70.407750000000007</v>
      </c>
      <c r="S90" s="83">
        <f t="shared" si="254"/>
        <v>80.130833333333342</v>
      </c>
      <c r="T90" s="83">
        <f t="shared" si="254"/>
        <v>79.908083333333352</v>
      </c>
      <c r="U90" s="83">
        <f t="shared" si="254"/>
        <v>65.731499999999997</v>
      </c>
      <c r="V90" s="83">
        <f t="shared" si="254"/>
        <v>50.823083333333329</v>
      </c>
      <c r="W90" s="107">
        <f t="shared" si="254"/>
        <v>48.703166666666675</v>
      </c>
      <c r="X90" s="107">
        <f t="shared" si="254"/>
        <v>50.283499999999997</v>
      </c>
      <c r="Y90" s="119">
        <f>+X90/W90-1</f>
        <v>3.2448266539820914E-2</v>
      </c>
      <c r="Z90" s="173">
        <f>+POWER(X90/S90,0.2)-1</f>
        <v>-8.8985754656272453E-2</v>
      </c>
    </row>
    <row r="91" spans="1:27" ht="25.5" x14ac:dyDescent="0.25">
      <c r="A91" s="95" t="s">
        <v>15</v>
      </c>
      <c r="B91" s="108">
        <f t="shared" ref="B91:G91" si="255">+B90/B$108</f>
        <v>6.6939684564817081E-2</v>
      </c>
      <c r="C91" s="84">
        <f t="shared" si="255"/>
        <v>5.6391279268685826E-2</v>
      </c>
      <c r="D91" s="84">
        <f t="shared" si="255"/>
        <v>8.1687530217541951E-2</v>
      </c>
      <c r="E91" s="84">
        <f t="shared" si="255"/>
        <v>8.3937416522608846E-2</v>
      </c>
      <c r="F91" s="84">
        <f t="shared" si="255"/>
        <v>0.108679689761027</v>
      </c>
      <c r="G91" s="84">
        <f t="shared" si="255"/>
        <v>8.3350048362150042E-2</v>
      </c>
      <c r="H91" s="84">
        <f t="shared" ref="H91:I91" si="256">+H90/H$108</f>
        <v>6.9625931413080627E-2</v>
      </c>
      <c r="I91" s="84">
        <f t="shared" si="256"/>
        <v>6.9585934218720571E-2</v>
      </c>
      <c r="J91" s="84">
        <f t="shared" ref="J91" si="257">+J90/J$108</f>
        <v>7.2882672234980628E-2</v>
      </c>
      <c r="K91" s="108"/>
      <c r="L91" s="97"/>
      <c r="M91" s="3"/>
      <c r="N91" s="95" t="s">
        <v>15</v>
      </c>
      <c r="O91" s="108">
        <f t="shared" ref="O91:W91" si="258">+O90/O$108</f>
        <v>6.756011385001072E-2</v>
      </c>
      <c r="P91" s="84">
        <f t="shared" si="258"/>
        <v>6.2064367197316575E-2</v>
      </c>
      <c r="Q91" s="84">
        <f t="shared" si="258"/>
        <v>6.3600197746055118E-2</v>
      </c>
      <c r="R91" s="84">
        <f t="shared" si="258"/>
        <v>8.5913487888731488E-2</v>
      </c>
      <c r="S91" s="84">
        <f t="shared" si="258"/>
        <v>0.10155540074867761</v>
      </c>
      <c r="T91" s="84">
        <f t="shared" si="258"/>
        <v>9.4303820934490953E-2</v>
      </c>
      <c r="U91" s="84">
        <f t="shared" si="258"/>
        <v>7.5472315536660145E-2</v>
      </c>
      <c r="V91" s="84">
        <f t="shared" si="258"/>
        <v>6.7923270427783497E-2</v>
      </c>
      <c r="W91" s="109">
        <f t="shared" si="258"/>
        <v>7.0181232088077736E-2</v>
      </c>
      <c r="X91" s="109">
        <f t="shared" ref="X91" si="259">+X90/X$108</f>
        <v>7.1696170838314838E-2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60">+D90/C90-1</f>
        <v>0.46919285948965039</v>
      </c>
      <c r="E92" s="85">
        <f t="shared" ref="E92" si="261">+E90/D90-1</f>
        <v>-3.1307770290400772E-4</v>
      </c>
      <c r="F92" s="85">
        <f t="shared" ref="F92:J92" si="262">+F90/E90-1</f>
        <v>0.28243978823353943</v>
      </c>
      <c r="G92" s="85">
        <f t="shared" si="262"/>
        <v>-0.13019512989278315</v>
      </c>
      <c r="H92" s="85">
        <f t="shared" si="262"/>
        <v>-0.23221209123238584</v>
      </c>
      <c r="I92" s="85">
        <f t="shared" si="262"/>
        <v>-0.16336694004771102</v>
      </c>
      <c r="J92" s="85">
        <f t="shared" si="262"/>
        <v>9.1847565925031738E-2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263">+Q90/P90-1</f>
        <v>2.0788894811014647E-2</v>
      </c>
      <c r="R92" s="85">
        <f t="shared" ref="R92" si="264">+R90/Q90-1</f>
        <v>0.35913988527084917</v>
      </c>
      <c r="S92" s="85">
        <f t="shared" ref="S92" si="265">+S90/R90-1</f>
        <v>0.13809677675161236</v>
      </c>
      <c r="T92" s="85">
        <f t="shared" ref="T92" si="266">+T90/S90-1</f>
        <v>-2.7798288216145384E-3</v>
      </c>
      <c r="U92" s="85">
        <f t="shared" ref="U92" si="267">+U90/T90-1</f>
        <v>-0.17741112966251871</v>
      </c>
      <c r="V92" s="85">
        <f t="shared" ref="V92" si="268">+V90/U90-1</f>
        <v>-0.22680779636348891</v>
      </c>
      <c r="W92" s="111">
        <f t="shared" ref="W92:X92" si="269">+W90/V90-1</f>
        <v>-4.1711689406224273E-2</v>
      </c>
      <c r="X92" s="111">
        <f t="shared" si="269"/>
        <v>3.2448266539820914E-2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53" t="s">
        <v>43</v>
      </c>
      <c r="B94" s="354"/>
      <c r="C94" s="354"/>
      <c r="D94" s="354"/>
      <c r="E94" s="354"/>
      <c r="F94" s="354"/>
      <c r="G94" s="354"/>
      <c r="H94" s="354"/>
      <c r="I94" s="354"/>
      <c r="J94" s="354"/>
      <c r="K94" s="354"/>
      <c r="L94" s="355"/>
      <c r="M94" s="2"/>
      <c r="N94" s="353" t="s">
        <v>44</v>
      </c>
      <c r="O94" s="354"/>
      <c r="P94" s="354"/>
      <c r="Q94" s="354"/>
      <c r="R94" s="354"/>
      <c r="S94" s="354"/>
      <c r="T94" s="354"/>
      <c r="U94" s="354"/>
      <c r="V94" s="354"/>
      <c r="W94" s="354"/>
      <c r="X94" s="354"/>
      <c r="Y94" s="354"/>
      <c r="Z94" s="355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270">+C95+1</f>
        <v>2018</v>
      </c>
      <c r="E95" s="82">
        <f t="shared" ref="E95" si="271">+D95+1</f>
        <v>2019</v>
      </c>
      <c r="F95" s="82">
        <f t="shared" ref="F95" si="272">+E95+1</f>
        <v>2020</v>
      </c>
      <c r="G95" s="82">
        <f t="shared" ref="G95" si="273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274">+P95+1</f>
        <v>2018</v>
      </c>
      <c r="R95" s="82">
        <f t="shared" ref="R95" si="275">+Q95+1</f>
        <v>2019</v>
      </c>
      <c r="S95" s="82">
        <f t="shared" ref="S95" si="276">+R95+1</f>
        <v>2020</v>
      </c>
      <c r="T95" s="82">
        <f t="shared" ref="T95" si="277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278">+SUM(D96)+SUM(C97:C107)</f>
        <v>804.50100000000009</v>
      </c>
      <c r="R96" s="6">
        <f t="shared" ref="R96" si="279">+SUM(E96)+SUM(D97:D107)</f>
        <v>826.70799999999986</v>
      </c>
      <c r="S96" s="6">
        <f t="shared" ref="S96" si="280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715.63600000000008</v>
      </c>
      <c r="Y96" s="117">
        <f>+X96/W96-1</f>
        <v>5.6415600979600411E-2</v>
      </c>
      <c r="Z96" s="113">
        <f>+POWER(X96/S96,0.2)-1</f>
        <v>-2.188957241991174E-2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281">+SUM(D96:D97)+SUM(C98:C107)</f>
        <v>812.54399999999998</v>
      </c>
      <c r="R97" s="6">
        <f t="shared" ref="R97" si="282">+SUM(E96:E97)+SUM(D98:D107)</f>
        <v>829.87899999999991</v>
      </c>
      <c r="S97" s="6">
        <f t="shared" ref="S97" si="283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284">+SUM(I96:I97)+SUM(H98:H107)</f>
        <v>816.59899999999993</v>
      </c>
      <c r="W97" s="105">
        <f t="shared" ref="W97" si="285">+SUM(J96:J97)+SUM(I98:I107)</f>
        <v>675.98200000000008</v>
      </c>
      <c r="X97" s="90">
        <f t="shared" ref="X97" si="286">+SUM(K96:K97)+SUM(J98:J107)</f>
        <v>718.0150000000001</v>
      </c>
      <c r="Y97" s="117">
        <f>+X97/W97-1</f>
        <v>6.2180649780615438E-2</v>
      </c>
      <c r="Z97" s="113">
        <f>+POWER(X97/S97,0.2)-1</f>
        <v>-2.1115434269166733E-2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287">+SUM(D96:D98)+SUM(C99:C107)</f>
        <v>812.06399999999996</v>
      </c>
      <c r="R98" s="6">
        <f t="shared" ref="R98" si="288">+SUM(E96:E98)+SUM(D99:D107)</f>
        <v>825.577</v>
      </c>
      <c r="S98" s="6">
        <f t="shared" ref="S98" si="289">+SUM(F96:F98)+SUM(E99:E107)</f>
        <v>794.38100000000009</v>
      </c>
      <c r="T98" s="6">
        <f t="shared" ref="T98" si="290">+SUM(G96:G98)+SUM(F99:F107)</f>
        <v>810.49600000000009</v>
      </c>
      <c r="U98" s="6">
        <f>+SUM(H96:H98)+SUM(G99:G107)</f>
        <v>885.94999999999993</v>
      </c>
      <c r="V98" s="6">
        <f t="shared" ref="V98" si="291">+SUM(I96:I98)+SUM(H99:H107)</f>
        <v>807.495</v>
      </c>
      <c r="W98" s="67">
        <f t="shared" ref="W98" si="292">+SUM(J96:J98)+SUM(I99:I107)</f>
        <v>664.85</v>
      </c>
      <c r="X98" s="37">
        <f t="shared" ref="X98" si="293">+SUM(K96:K98)+SUM(J99:J107)</f>
        <v>718.221</v>
      </c>
      <c r="Y98" s="78">
        <f>+X98/W98-1</f>
        <v>8.027525005640368E-2</v>
      </c>
      <c r="Z98" s="7">
        <f>+POWER(X98/S98,0.2)-1</f>
        <v>-1.9955377095850491E-2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/>
      <c r="L99" s="91"/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294">+SUM(D96:D99)+SUM(C100:C107)</f>
        <v>811.40599999999995</v>
      </c>
      <c r="R99" s="6">
        <f t="shared" ref="R99" si="295">+SUM(E96:E99)+SUM(D100:D107)</f>
        <v>831.28700000000003</v>
      </c>
      <c r="S99" s="6">
        <f t="shared" ref="S99" si="296">+SUM(F96:F99)+SUM(E100:E107)</f>
        <v>792.64600000000019</v>
      </c>
      <c r="T99" s="6">
        <f t="shared" ref="T99" si="297">+SUM(G96:G99)+SUM(F100:F107)</f>
        <v>817.17599999999993</v>
      </c>
      <c r="U99" s="6">
        <f>+SUM(H96:H99)+SUM(G100:G107)</f>
        <v>885.66499999999996</v>
      </c>
      <c r="V99" s="6">
        <f t="shared" ref="V99" si="298">+SUM(I96:I99)+SUM(H100:H107)</f>
        <v>785.80599999999993</v>
      </c>
      <c r="W99" s="105">
        <f t="shared" ref="W99" si="299">+SUM(J96:J99)+SUM(I100:I107)</f>
        <v>678.45099999999991</v>
      </c>
      <c r="X99" s="90">
        <f t="shared" ref="X99" si="300">+SUM(K96:K99)+SUM(J100:J107)</f>
        <v>653.49400000000003</v>
      </c>
      <c r="Y99" s="117">
        <f>+X99/W99-1</f>
        <v>-3.678526525865522E-2</v>
      </c>
      <c r="Z99" s="113">
        <f>+POWER(X99/S99,0.2)-1</f>
        <v>-3.7872858034877832E-2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64.658000000000001</v>
      </c>
      <c r="K100" s="104"/>
      <c r="L100" s="91"/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01">+SUM(D96:D100)+SUM(C101:C107)</f>
        <v>813.50699999999995</v>
      </c>
      <c r="R100" s="6">
        <f t="shared" ref="R100" si="302">+SUM(E96:E100)+SUM(D101:D107)</f>
        <v>833.89599999999996</v>
      </c>
      <c r="S100" s="6">
        <f t="shared" ref="S100" si="303">+SUM(F96:F100)+SUM(E101:E107)</f>
        <v>780.74</v>
      </c>
      <c r="T100" s="6">
        <f t="shared" ref="T100" si="304">+SUM(G96:G100)+SUM(F101:F107)</f>
        <v>831.59300000000007</v>
      </c>
      <c r="U100" s="6">
        <f>+SUM(H96:H100)+SUM(G101:G107)</f>
        <v>888.01199999999994</v>
      </c>
      <c r="V100" s="6">
        <f t="shared" ref="V100" si="305">+SUM(I96:I100)+SUM(H101:H107)</f>
        <v>767.74900000000002</v>
      </c>
      <c r="W100" s="105">
        <f t="shared" ref="W100" si="306">+SUM(J96:J100)+SUM(I101:I107)</f>
        <v>682.66699999999992</v>
      </c>
      <c r="X100" s="90"/>
      <c r="Y100" s="117"/>
      <c r="Z100" s="113"/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47.927999999999997</v>
      </c>
      <c r="K101" s="104"/>
      <c r="L101" s="91"/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07">+SUM(D96:D101)+SUM(C102:C107)</f>
        <v>805.25900000000001</v>
      </c>
      <c r="R101" s="6">
        <f t="shared" ref="R101" si="308">+SUM(E96:E101)+SUM(D102:D107)</f>
        <v>830.47900000000004</v>
      </c>
      <c r="S101" s="6">
        <f t="shared" ref="S101" si="309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10">+SUM(I96:I101)+SUM(H102:H107)</f>
        <v>740.37400000000002</v>
      </c>
      <c r="W101" s="105">
        <f t="shared" ref="W101" si="311">+SUM(J96:J101)+SUM(I102:I107)</f>
        <v>675.49</v>
      </c>
      <c r="X101" s="105"/>
      <c r="Y101" s="117"/>
      <c r="Z101" s="113"/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/>
      <c r="L102" s="91"/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12">+SUM(C96:C102)+SUM(B103:B107)</f>
        <v>825.38261</v>
      </c>
      <c r="Q102" s="6">
        <f t="shared" si="312"/>
        <v>814.88699999999994</v>
      </c>
      <c r="R102" s="6">
        <f t="shared" si="312"/>
        <v>823.44999999999993</v>
      </c>
      <c r="S102" s="6">
        <f t="shared" si="312"/>
        <v>786.56400000000008</v>
      </c>
      <c r="T102" s="6">
        <f t="shared" si="312"/>
        <v>861.23700000000008</v>
      </c>
      <c r="U102" s="6">
        <f t="shared" si="312"/>
        <v>865.54600000000005</v>
      </c>
      <c r="V102" s="6">
        <f t="shared" si="312"/>
        <v>738.03600000000006</v>
      </c>
      <c r="W102" s="105">
        <f t="shared" ref="W102" si="313">+SUM(J96:J102)+SUM(I103:I107)</f>
        <v>698.06399999999996</v>
      </c>
      <c r="X102" s="90"/>
      <c r="Y102" s="117"/>
      <c r="Z102" s="113"/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/>
      <c r="L103" s="91"/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14">+SUM(F96:F103)+SUM(E104:E107)</f>
        <v>773.8610000000001</v>
      </c>
      <c r="T103" s="6">
        <f t="shared" ref="T103" si="315">+SUM(G96:G103)+SUM(F104:F107)</f>
        <v>866.93200000000013</v>
      </c>
      <c r="U103" s="6">
        <f>+SUM(H96:H103)+SUM(G104:G107)</f>
        <v>876.11300000000006</v>
      </c>
      <c r="V103" s="6">
        <f t="shared" ref="V103" si="316">+SUM(I96:I103)+SUM(H104:H107)</f>
        <v>712.44499999999994</v>
      </c>
      <c r="W103" s="105">
        <f t="shared" ref="W103" si="317">+SUM(J96:J103)+SUM(I104:I107)</f>
        <v>709.62</v>
      </c>
      <c r="X103" s="90"/>
      <c r="Y103" s="117"/>
      <c r="Z103" s="113"/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/>
      <c r="L104" s="91"/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318">+SUM(C96:C104)+SUM(B105:B107)</f>
        <v>811.87</v>
      </c>
      <c r="Q104" s="6">
        <f t="shared" si="318"/>
        <v>817.29899999999998</v>
      </c>
      <c r="R104" s="6">
        <f t="shared" si="318"/>
        <v>813.01900000000001</v>
      </c>
      <c r="S104" s="6">
        <f t="shared" si="318"/>
        <v>786.66200000000003</v>
      </c>
      <c r="T104" s="6">
        <f t="shared" si="318"/>
        <v>877.82500000000005</v>
      </c>
      <c r="U104" s="6">
        <f t="shared" si="318"/>
        <v>866.63000000000011</v>
      </c>
      <c r="V104" s="6">
        <f t="shared" si="318"/>
        <v>701.00200000000007</v>
      </c>
      <c r="W104" s="105">
        <f t="shared" ref="W104" si="319">+SUM(J96:J104)+SUM(I105:I107)</f>
        <v>709.97399999999993</v>
      </c>
      <c r="X104" s="90"/>
      <c r="Y104" s="117"/>
      <c r="Z104" s="113"/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20">+SUM(C96:C105)+SUM(B106:B107)</f>
        <v>813.99099999999999</v>
      </c>
      <c r="Q105" s="6">
        <f t="shared" si="320"/>
        <v>819.16200000000003</v>
      </c>
      <c r="R105" s="6">
        <f t="shared" si="320"/>
        <v>804.86500000000001</v>
      </c>
      <c r="S105" s="6">
        <f t="shared" si="320"/>
        <v>789.54900000000009</v>
      </c>
      <c r="T105" s="6">
        <f t="shared" si="320"/>
        <v>877.60300000000007</v>
      </c>
      <c r="U105" s="6">
        <f t="shared" si="320"/>
        <v>859.39300000000014</v>
      </c>
      <c r="V105" s="6">
        <f t="shared" ref="V105" si="321">+SUM(I96:I105)+SUM(H106:H107)</f>
        <v>695.55500000000006</v>
      </c>
      <c r="W105" s="105">
        <f t="shared" ref="W105" si="322">+SUM(J96:J105)+SUM(I106:I107)</f>
        <v>715.65099999999995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23">+SUM(C96:C106)+SUM(B107)</f>
        <v>814.553</v>
      </c>
      <c r="Q106" s="6">
        <f t="shared" si="323"/>
        <v>822.95099999999991</v>
      </c>
      <c r="R106" s="6">
        <f t="shared" si="323"/>
        <v>798.995</v>
      </c>
      <c r="S106" s="6">
        <f t="shared" si="323"/>
        <v>794.12300000000005</v>
      </c>
      <c r="T106" s="6">
        <f t="shared" si="323"/>
        <v>888.92700000000002</v>
      </c>
      <c r="U106" s="6">
        <f t="shared" si="323"/>
        <v>837.43300000000011</v>
      </c>
      <c r="V106" s="6">
        <f t="shared" ref="V106" si="324">+SUM(I96:I106)+SUM(H107)</f>
        <v>691.91500000000008</v>
      </c>
      <c r="W106" s="105">
        <f t="shared" ref="W106" si="325">+SUM(J96:J106)+SUM(I107)</f>
        <v>719.59900000000005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26">+SUM(C96:C107)</f>
        <v>809.61099999999999</v>
      </c>
      <c r="Q107" s="6">
        <f t="shared" si="326"/>
        <v>821.12899999999991</v>
      </c>
      <c r="R107" s="6">
        <f t="shared" si="326"/>
        <v>798.86900000000003</v>
      </c>
      <c r="S107" s="6">
        <f t="shared" si="326"/>
        <v>791.26100000000008</v>
      </c>
      <c r="T107" s="6">
        <f t="shared" si="326"/>
        <v>897.39599999999996</v>
      </c>
      <c r="U107" s="6">
        <f t="shared" si="326"/>
        <v>824.82200000000012</v>
      </c>
      <c r="V107" s="6">
        <f t="shared" ref="V107" si="327">+SUM(I96:I107)</f>
        <v>690.47000000000014</v>
      </c>
      <c r="W107" s="105">
        <f t="shared" ref="W107" si="328">+SUM(J96:J107)</f>
        <v>719.78700000000003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29">SUM(C96:C107)</f>
        <v>809.61099999999999</v>
      </c>
      <c r="D108" s="83">
        <f t="shared" si="329"/>
        <v>821.12899999999991</v>
      </c>
      <c r="E108" s="83">
        <f t="shared" si="329"/>
        <v>798.86900000000003</v>
      </c>
      <c r="F108" s="83">
        <f t="shared" si="329"/>
        <v>791.26100000000008</v>
      </c>
      <c r="G108" s="83">
        <f t="shared" si="329"/>
        <v>897.39599999999996</v>
      </c>
      <c r="H108" s="83">
        <f t="shared" ref="H108:I108" si="330">SUM(H96:H107)</f>
        <v>824.82200000000012</v>
      </c>
      <c r="I108" s="83">
        <f t="shared" si="330"/>
        <v>690.47000000000014</v>
      </c>
      <c r="J108" s="83">
        <f t="shared" ref="J108" si="331">SUM(J96:J107)</f>
        <v>719.78700000000003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32">+AVERAGE(Q96:Q107)</f>
        <v>814.51266666666652</v>
      </c>
      <c r="R108" s="83">
        <f t="shared" si="332"/>
        <v>819.51916666666682</v>
      </c>
      <c r="S108" s="83">
        <f t="shared" si="332"/>
        <v>789.03566666666677</v>
      </c>
      <c r="T108" s="83">
        <f t="shared" si="332"/>
        <v>847.34725000000014</v>
      </c>
      <c r="U108" s="83">
        <f t="shared" si="332"/>
        <v>870.93525000000011</v>
      </c>
      <c r="V108" s="83">
        <f t="shared" si="332"/>
        <v>748.2425833333333</v>
      </c>
      <c r="W108" s="107">
        <f t="shared" si="332"/>
        <v>693.96283333333338</v>
      </c>
      <c r="X108" s="107">
        <f t="shared" si="332"/>
        <v>701.34150000000011</v>
      </c>
      <c r="Y108" s="119">
        <f>+X108/W108-1</f>
        <v>1.0632653958173144E-2</v>
      </c>
      <c r="Z108" s="173">
        <f>+POWER(X108/S108,0.2)-1</f>
        <v>-2.3287871747168176E-2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33">+D108/C108-1</f>
        <v>1.4226585360129551E-2</v>
      </c>
      <c r="E109" s="85">
        <f t="shared" ref="E109" si="334">+E108/D108-1</f>
        <v>-2.7109016975408129E-2</v>
      </c>
      <c r="F109" s="85">
        <f t="shared" ref="F109:J109" si="335">+F108/E108-1</f>
        <v>-9.5234637969429103E-3</v>
      </c>
      <c r="G109" s="85">
        <f t="shared" si="335"/>
        <v>0.13413399624144229</v>
      </c>
      <c r="H109" s="85">
        <f t="shared" si="335"/>
        <v>-8.0871766756259067E-2</v>
      </c>
      <c r="I109" s="85">
        <f t="shared" si="335"/>
        <v>-0.16288605299082703</v>
      </c>
      <c r="J109" s="85">
        <f t="shared" si="335"/>
        <v>4.2459484119512725E-2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336">+Q108/P108-1</f>
        <v>-3.8613236477959001E-3</v>
      </c>
      <c r="R109" s="85">
        <f t="shared" ref="R109" si="337">+R108/Q108-1</f>
        <v>6.1466201876134718E-3</v>
      </c>
      <c r="S109" s="85">
        <f t="shared" ref="S109" si="338">+S108/R108-1</f>
        <v>-3.7196811544981223E-2</v>
      </c>
      <c r="T109" s="85">
        <f t="shared" ref="T109:X109" si="339">+T108/S108-1</f>
        <v>7.3902341550255324E-2</v>
      </c>
      <c r="U109" s="85">
        <f t="shared" si="339"/>
        <v>2.7837465690718766E-2</v>
      </c>
      <c r="V109" s="85">
        <f t="shared" si="339"/>
        <v>-0.14087461343040919</v>
      </c>
      <c r="W109" s="111">
        <f t="shared" si="339"/>
        <v>-7.2542984332955252E-2</v>
      </c>
      <c r="X109" s="100">
        <f t="shared" si="339"/>
        <v>1.0632653958173144E-2</v>
      </c>
      <c r="Y109" s="100"/>
      <c r="Z109" s="224"/>
    </row>
    <row r="110" spans="1:26" ht="15.75" thickBot="1" x14ac:dyDescent="0.3"/>
    <row r="111" spans="1:26" ht="15.75" thickBot="1" x14ac:dyDescent="0.3">
      <c r="A111" s="347" t="s">
        <v>45</v>
      </c>
      <c r="B111" s="348"/>
      <c r="C111" s="348"/>
      <c r="D111" s="348"/>
      <c r="E111" s="348"/>
      <c r="F111" s="348"/>
      <c r="G111" s="348"/>
      <c r="H111" s="348"/>
      <c r="I111" s="348"/>
      <c r="J111" s="348"/>
      <c r="K111" s="348"/>
      <c r="L111" s="349"/>
      <c r="M111" s="2"/>
      <c r="N111" s="347" t="s">
        <v>46</v>
      </c>
      <c r="O111" s="348"/>
      <c r="P111" s="348"/>
      <c r="Q111" s="348"/>
      <c r="R111" s="348"/>
      <c r="S111" s="348"/>
      <c r="T111" s="348"/>
      <c r="U111" s="348"/>
      <c r="V111" s="348"/>
      <c r="W111" s="348"/>
      <c r="X111" s="348"/>
      <c r="Y111" s="348"/>
      <c r="Z111" s="349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340">+C112+1</f>
        <v>2018</v>
      </c>
      <c r="E112" s="129">
        <f t="shared" ref="E112" si="341">+D112+1</f>
        <v>2019</v>
      </c>
      <c r="F112" s="129">
        <f t="shared" ref="F112" si="342">+E112+1</f>
        <v>2020</v>
      </c>
      <c r="G112" s="129">
        <f t="shared" ref="G112:K112" si="343">+F112+1</f>
        <v>2021</v>
      </c>
      <c r="H112" s="129">
        <f t="shared" si="343"/>
        <v>2022</v>
      </c>
      <c r="I112" s="129">
        <f t="shared" si="343"/>
        <v>2023</v>
      </c>
      <c r="J112" s="130">
        <f t="shared" si="343"/>
        <v>2024</v>
      </c>
      <c r="K112" s="130">
        <f t="shared" si="343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344">+P112+1</f>
        <v>2018</v>
      </c>
      <c r="R112" s="129">
        <f t="shared" ref="R112" si="345">+Q112+1</f>
        <v>2019</v>
      </c>
      <c r="S112" s="129">
        <f t="shared" ref="S112" si="346">+R112+1</f>
        <v>2020</v>
      </c>
      <c r="T112" s="129">
        <f t="shared" ref="T112" si="347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348">+C60/C7</f>
        <v>3.718357346146234</v>
      </c>
      <c r="D113" s="158">
        <f t="shared" si="348"/>
        <v>3.9478346529048953</v>
      </c>
      <c r="E113" s="158">
        <f t="shared" si="348"/>
        <v>3.9160428488544867</v>
      </c>
      <c r="F113" s="158">
        <f t="shared" si="348"/>
        <v>3.7372375128860522</v>
      </c>
      <c r="G113" s="158">
        <f t="shared" si="348"/>
        <v>3.6436984971671289</v>
      </c>
      <c r="H113" s="158">
        <f t="shared" ref="H113:I124" si="349">+H60/H7</f>
        <v>3.6556312625250502</v>
      </c>
      <c r="I113" s="158">
        <f t="shared" si="349"/>
        <v>3.8771539323460829</v>
      </c>
      <c r="J113" s="180">
        <f t="shared" ref="J113:K124" si="350">+J60/J7</f>
        <v>4.2508500839323373</v>
      </c>
      <c r="K113" s="180">
        <f t="shared" si="350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351">+P60/P7</f>
        <v>3.7223228546626719</v>
      </c>
      <c r="Q113" s="158">
        <f t="shared" si="351"/>
        <v>3.9972669853612439</v>
      </c>
      <c r="R113" s="158">
        <f t="shared" si="351"/>
        <v>4.0401049777839075</v>
      </c>
      <c r="S113" s="158">
        <f t="shared" si="351"/>
        <v>3.8107309182898312</v>
      </c>
      <c r="T113" s="158">
        <f t="shared" si="351"/>
        <v>3.492512006243544</v>
      </c>
      <c r="U113" s="158">
        <f t="shared" si="351"/>
        <v>3.7350088648014705</v>
      </c>
      <c r="V113" s="158">
        <f t="shared" ref="V113:W123" si="352">+V60/V7</f>
        <v>3.9040936416809724</v>
      </c>
      <c r="W113" s="180">
        <f t="shared" si="352"/>
        <v>4.253487103298375</v>
      </c>
      <c r="X113" s="181">
        <f t="shared" ref="X113:X116" si="353">+X60/X7</f>
        <v>4.2412742711164615</v>
      </c>
      <c r="Y113" s="147">
        <f>+X113/W113-1</f>
        <v>-2.8712517248360436E-3</v>
      </c>
      <c r="Z113" s="127">
        <f>+POWER(X113/S113,0.2)-1</f>
        <v>2.1639356517216601E-2</v>
      </c>
    </row>
    <row r="114" spans="1:26" x14ac:dyDescent="0.25">
      <c r="A114" s="133" t="s">
        <v>11</v>
      </c>
      <c r="B114" s="158">
        <f t="shared" ref="B114:G114" si="354">+B61/B8</f>
        <v>3.7221066632706488</v>
      </c>
      <c r="C114" s="158">
        <f t="shared" si="354"/>
        <v>3.9660241751061744</v>
      </c>
      <c r="D114" s="158">
        <f t="shared" si="354"/>
        <v>4.0949099400689128</v>
      </c>
      <c r="E114" s="158">
        <f t="shared" si="354"/>
        <v>4.0386253041362536</v>
      </c>
      <c r="F114" s="158">
        <f t="shared" si="354"/>
        <v>3.7810899500107342</v>
      </c>
      <c r="G114" s="158">
        <f t="shared" si="354"/>
        <v>3.6736988546490581</v>
      </c>
      <c r="H114" s="158">
        <f t="shared" si="349"/>
        <v>3.8515889382402708</v>
      </c>
      <c r="I114" s="158">
        <f t="shared" si="349"/>
        <v>4.075703288516797</v>
      </c>
      <c r="J114" s="180">
        <f t="shared" si="350"/>
        <v>4.1248731059018562</v>
      </c>
      <c r="K114" s="180">
        <f t="shared" si="350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355">+O61/O8</f>
        <v>3.8230652946104944</v>
      </c>
      <c r="P114" s="158">
        <f t="shared" si="355"/>
        <v>3.7353889633187571</v>
      </c>
      <c r="Q114" s="158">
        <f t="shared" si="355"/>
        <v>4.0052822627860687</v>
      </c>
      <c r="R114" s="158">
        <f t="shared" si="355"/>
        <v>4.0364302485133301</v>
      </c>
      <c r="S114" s="158">
        <f t="shared" si="355"/>
        <v>3.7930418000110815</v>
      </c>
      <c r="T114" s="158">
        <f t="shared" si="355"/>
        <v>3.48805706922106</v>
      </c>
      <c r="U114" s="158">
        <f t="shared" si="355"/>
        <v>3.7475461336070248</v>
      </c>
      <c r="V114" s="158">
        <f t="shared" si="352"/>
        <v>3.9181522102488215</v>
      </c>
      <c r="W114" s="180">
        <f t="shared" si="352"/>
        <v>4.2577082760833287</v>
      </c>
      <c r="X114" s="181">
        <f t="shared" si="353"/>
        <v>4.2555447393198538</v>
      </c>
      <c r="Y114" s="147">
        <f>+X114/W114-1</f>
        <v>-5.0814584353464642E-4</v>
      </c>
      <c r="Z114" s="127">
        <f>+POWER(X114/S114,0.2)-1</f>
        <v>2.3277692031083097E-2</v>
      </c>
    </row>
    <row r="115" spans="1:26" x14ac:dyDescent="0.25">
      <c r="A115" s="133" t="s">
        <v>0</v>
      </c>
      <c r="B115" s="158">
        <f t="shared" ref="B115:G115" si="356">+B62/B9</f>
        <v>3.5626695545637523</v>
      </c>
      <c r="C115" s="158">
        <f t="shared" si="356"/>
        <v>4.0012602779953017</v>
      </c>
      <c r="D115" s="158">
        <f t="shared" si="356"/>
        <v>4.1454446057024592</v>
      </c>
      <c r="E115" s="158">
        <f t="shared" si="356"/>
        <v>3.7511183724277428</v>
      </c>
      <c r="F115" s="158">
        <f t="shared" si="356"/>
        <v>3.6767908067937571</v>
      </c>
      <c r="G115" s="158">
        <f t="shared" si="356"/>
        <v>3.5714508304854107</v>
      </c>
      <c r="H115" s="158">
        <f t="shared" si="349"/>
        <v>3.7686506307329779</v>
      </c>
      <c r="I115" s="158">
        <f t="shared" si="349"/>
        <v>4.12891804644382</v>
      </c>
      <c r="J115" s="180">
        <f t="shared" si="350"/>
        <v>4.2076965158819712</v>
      </c>
      <c r="K115" s="180">
        <f t="shared" si="350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357">+O62/O9</f>
        <v>3.7965118648922256</v>
      </c>
      <c r="P115" s="158">
        <f t="shared" si="357"/>
        <v>3.772202918218269</v>
      </c>
      <c r="Q115" s="158">
        <f t="shared" si="357"/>
        <v>4.0168915773318501</v>
      </c>
      <c r="R115" s="158">
        <f t="shared" si="357"/>
        <v>4.0041146178500808</v>
      </c>
      <c r="S115" s="158">
        <f t="shared" si="357"/>
        <v>3.7877375610833792</v>
      </c>
      <c r="T115" s="158">
        <f t="shared" si="357"/>
        <v>3.4828995926123603</v>
      </c>
      <c r="U115" s="158">
        <f t="shared" si="355"/>
        <v>3.7649645827031124</v>
      </c>
      <c r="V115" s="158">
        <f t="shared" si="352"/>
        <v>3.9480014614694685</v>
      </c>
      <c r="W115" s="180">
        <f t="shared" si="352"/>
        <v>4.2664651563968361</v>
      </c>
      <c r="X115" s="181">
        <f t="shared" si="353"/>
        <v>4.2708440780887713</v>
      </c>
      <c r="Y115" s="147">
        <f>+X115/W115-1</f>
        <v>1.026358245389547E-3</v>
      </c>
      <c r="Z115" s="127">
        <f>+POWER(X115/S115,0.2)-1</f>
        <v>2.4299043407495446E-2</v>
      </c>
    </row>
    <row r="116" spans="1:26" x14ac:dyDescent="0.25">
      <c r="A116" s="133" t="s">
        <v>1</v>
      </c>
      <c r="B116" s="158">
        <f t="shared" ref="B116:G116" si="358">+B63/B10</f>
        <v>3.7899403435698136</v>
      </c>
      <c r="C116" s="158">
        <f t="shared" si="358"/>
        <v>3.8450675684233193</v>
      </c>
      <c r="D116" s="158">
        <f t="shared" si="358"/>
        <v>4.0358155582561563</v>
      </c>
      <c r="E116" s="158">
        <f t="shared" si="358"/>
        <v>3.8240884638374175</v>
      </c>
      <c r="F116" s="158">
        <f t="shared" si="358"/>
        <v>3.4400997163048568</v>
      </c>
      <c r="G116" s="158">
        <f t="shared" si="358"/>
        <v>3.6934676213350253</v>
      </c>
      <c r="H116" s="158">
        <f t="shared" si="349"/>
        <v>3.974388032638259</v>
      </c>
      <c r="I116" s="158">
        <f t="shared" si="349"/>
        <v>4.2915067699659692</v>
      </c>
      <c r="J116" s="180">
        <f t="shared" si="350"/>
        <v>4.0303493801320238</v>
      </c>
      <c r="K116" s="180"/>
      <c r="L116" s="127"/>
      <c r="M116" s="2"/>
      <c r="N116" s="133" t="s">
        <v>1</v>
      </c>
      <c r="O116" s="158">
        <f t="shared" ref="O116:T116" si="359">+O63/O10</f>
        <v>3.7942516883860318</v>
      </c>
      <c r="P116" s="158">
        <f t="shared" si="359"/>
        <v>3.7762973309335366</v>
      </c>
      <c r="Q116" s="158">
        <f t="shared" si="359"/>
        <v>4.0326233298506153</v>
      </c>
      <c r="R116" s="158">
        <f t="shared" si="359"/>
        <v>3.9859146497725089</v>
      </c>
      <c r="S116" s="158">
        <f t="shared" si="359"/>
        <v>3.7523030014761187</v>
      </c>
      <c r="T116" s="158">
        <f t="shared" si="359"/>
        <v>3.5042576399419394</v>
      </c>
      <c r="U116" s="158">
        <f t="shared" si="355"/>
        <v>3.7871343921064833</v>
      </c>
      <c r="V116" s="158">
        <f t="shared" si="352"/>
        <v>3.9661205262790999</v>
      </c>
      <c r="W116" s="180">
        <f t="shared" si="352"/>
        <v>4.2409686780746521</v>
      </c>
      <c r="X116" s="181">
        <f t="shared" si="353"/>
        <v>3.9275859992345987</v>
      </c>
      <c r="Y116" s="147">
        <f>+X116/W116-1</f>
        <v>-7.3894127174342961E-2</v>
      </c>
      <c r="Z116" s="127">
        <f>+POWER(X116/S116,0.2)-1</f>
        <v>9.1728556025960639E-3</v>
      </c>
    </row>
    <row r="117" spans="1:26" x14ac:dyDescent="0.25">
      <c r="A117" s="133" t="s">
        <v>2</v>
      </c>
      <c r="B117" s="158">
        <f t="shared" ref="B117:G117" si="360">+B64/B11</f>
        <v>3.6354316834855034</v>
      </c>
      <c r="C117" s="158">
        <f t="shared" si="360"/>
        <v>4.0481946739236081</v>
      </c>
      <c r="D117" s="158">
        <f t="shared" si="360"/>
        <v>4.2074676739793695</v>
      </c>
      <c r="E117" s="158">
        <f t="shared" si="360"/>
        <v>3.8332715328547953</v>
      </c>
      <c r="F117" s="158">
        <f t="shared" si="360"/>
        <v>3.0865357722212901</v>
      </c>
      <c r="G117" s="158">
        <f t="shared" si="360"/>
        <v>3.5890342850493493</v>
      </c>
      <c r="H117" s="158">
        <f t="shared" si="349"/>
        <v>4.0835943704226594</v>
      </c>
      <c r="I117" s="158">
        <f t="shared" si="349"/>
        <v>4.2178485576923084</v>
      </c>
      <c r="J117" s="180">
        <f t="shared" si="350"/>
        <v>4.0855301070801557</v>
      </c>
      <c r="K117" s="180"/>
      <c r="L117" s="127"/>
      <c r="M117" s="2"/>
      <c r="N117" s="133" t="s">
        <v>2</v>
      </c>
      <c r="O117" s="158">
        <f t="shared" ref="O117:T117" si="361">+O64/O11</f>
        <v>3.7832243361976867</v>
      </c>
      <c r="P117" s="158">
        <f t="shared" si="361"/>
        <v>3.8120616535048994</v>
      </c>
      <c r="Q117" s="158">
        <f t="shared" si="361"/>
        <v>4.0459075111428691</v>
      </c>
      <c r="R117" s="158">
        <f t="shared" si="361"/>
        <v>3.9533942203684367</v>
      </c>
      <c r="S117" s="158">
        <f t="shared" si="361"/>
        <v>3.6822992561180916</v>
      </c>
      <c r="T117" s="158">
        <f t="shared" si="361"/>
        <v>3.5473259470080061</v>
      </c>
      <c r="U117" s="158">
        <f t="shared" si="355"/>
        <v>3.8296499736170393</v>
      </c>
      <c r="V117" s="158">
        <f t="shared" si="352"/>
        <v>3.9728945293578795</v>
      </c>
      <c r="W117" s="180">
        <f t="shared" si="352"/>
        <v>4.2276012227994553</v>
      </c>
      <c r="X117" s="181"/>
      <c r="Y117" s="147"/>
      <c r="Z117" s="127"/>
    </row>
    <row r="118" spans="1:26" x14ac:dyDescent="0.25">
      <c r="A118" s="133" t="s">
        <v>3</v>
      </c>
      <c r="B118" s="158">
        <f t="shared" ref="B118:G118" si="362">+B65/B12</f>
        <v>3.6446129303939072</v>
      </c>
      <c r="C118" s="158">
        <f t="shared" si="362"/>
        <v>3.760832083747522</v>
      </c>
      <c r="D118" s="158">
        <f t="shared" si="362"/>
        <v>3.9364315994312786</v>
      </c>
      <c r="E118" s="158">
        <f t="shared" si="362"/>
        <v>3.7501942423198273</v>
      </c>
      <c r="F118" s="158">
        <f t="shared" si="362"/>
        <v>3.03154145003055</v>
      </c>
      <c r="G118" s="158">
        <f t="shared" si="362"/>
        <v>3.7407210525316574</v>
      </c>
      <c r="H118" s="158">
        <f t="shared" si="349"/>
        <v>3.7869901031961808</v>
      </c>
      <c r="I118" s="158">
        <f t="shared" si="349"/>
        <v>4.553265793022371</v>
      </c>
      <c r="J118" s="180">
        <f t="shared" si="350"/>
        <v>4.5808590806330063</v>
      </c>
      <c r="K118" s="180"/>
      <c r="L118" s="127"/>
      <c r="M118" s="2"/>
      <c r="N118" s="133" t="s">
        <v>3</v>
      </c>
      <c r="O118" s="158">
        <f t="shared" ref="O118:T118" si="363">+O65/O12</f>
        <v>3.768271090426845</v>
      </c>
      <c r="P118" s="158">
        <f t="shared" si="363"/>
        <v>3.8206496157218197</v>
      </c>
      <c r="Q118" s="158">
        <f t="shared" si="363"/>
        <v>4.0641634968247962</v>
      </c>
      <c r="R118" s="158">
        <f t="shared" si="363"/>
        <v>3.9390931188918308</v>
      </c>
      <c r="S118" s="158">
        <f t="shared" si="363"/>
        <v>3.6187494475742112</v>
      </c>
      <c r="T118" s="158">
        <f t="shared" si="363"/>
        <v>3.6080876795162506</v>
      </c>
      <c r="U118" s="158">
        <f t="shared" si="355"/>
        <v>3.834355067817071</v>
      </c>
      <c r="V118" s="158">
        <f t="shared" si="352"/>
        <v>4.0341063515337305</v>
      </c>
      <c r="W118" s="180">
        <f t="shared" si="352"/>
        <v>4.2259112694370122</v>
      </c>
      <c r="X118" s="181"/>
      <c r="Y118" s="147"/>
      <c r="Z118" s="127"/>
    </row>
    <row r="119" spans="1:26" x14ac:dyDescent="0.25">
      <c r="A119" s="133" t="s">
        <v>4</v>
      </c>
      <c r="B119" s="158">
        <f t="shared" ref="B119:G119" si="364">+B66/B13</f>
        <v>3.6979506922993979</v>
      </c>
      <c r="C119" s="158">
        <f t="shared" si="364"/>
        <v>3.930720813157405</v>
      </c>
      <c r="D119" s="158">
        <f t="shared" si="364"/>
        <v>3.9144111426801396</v>
      </c>
      <c r="E119" s="158">
        <f t="shared" si="364"/>
        <v>4.048420048199846</v>
      </c>
      <c r="F119" s="158">
        <f t="shared" si="364"/>
        <v>3.6137151795177864</v>
      </c>
      <c r="G119" s="158">
        <f t="shared" si="364"/>
        <v>3.9784753363228704</v>
      </c>
      <c r="H119" s="158">
        <f t="shared" si="349"/>
        <v>3.7624296269667536</v>
      </c>
      <c r="I119" s="158">
        <f t="shared" si="349"/>
        <v>4.1190465569285211</v>
      </c>
      <c r="J119" s="180">
        <f t="shared" si="350"/>
        <v>4.2765546499311808</v>
      </c>
      <c r="K119" s="180"/>
      <c r="L119" s="127"/>
      <c r="M119" s="2"/>
      <c r="N119" s="133" t="s">
        <v>4</v>
      </c>
      <c r="O119" s="158">
        <f t="shared" ref="O119:T119" si="365">+O66/O13</f>
        <v>3.7529840621665733</v>
      </c>
      <c r="P119" s="158">
        <f t="shared" si="365"/>
        <v>3.839319416387863</v>
      </c>
      <c r="Q119" s="158">
        <f t="shared" si="365"/>
        <v>4.061087484489506</v>
      </c>
      <c r="R119" s="158">
        <f t="shared" si="365"/>
        <v>3.950943443936493</v>
      </c>
      <c r="S119" s="158">
        <f t="shared" si="365"/>
        <v>3.5825128960980752</v>
      </c>
      <c r="T119" s="158">
        <f t="shared" si="365"/>
        <v>3.6404069104063868</v>
      </c>
      <c r="U119" s="158">
        <f t="shared" si="355"/>
        <v>3.8160482222237007</v>
      </c>
      <c r="V119" s="158">
        <f t="shared" si="352"/>
        <v>4.0658464551235074</v>
      </c>
      <c r="W119" s="180">
        <f t="shared" ref="W119" si="366">+W66/W13</f>
        <v>4.2411400421042726</v>
      </c>
      <c r="X119" s="181"/>
      <c r="Y119" s="147"/>
      <c r="Z119" s="127"/>
    </row>
    <row r="120" spans="1:26" x14ac:dyDescent="0.25">
      <c r="A120" s="133" t="s">
        <v>5</v>
      </c>
      <c r="B120" s="158">
        <f t="shared" ref="B120:G122" si="367">+B67/B14</f>
        <v>3.6143732981406922</v>
      </c>
      <c r="C120" s="158">
        <f t="shared" si="367"/>
        <v>3.8901655288149812</v>
      </c>
      <c r="D120" s="158">
        <f t="shared" si="367"/>
        <v>4.1571444930718409</v>
      </c>
      <c r="E120" s="158">
        <f t="shared" si="367"/>
        <v>4.0406261589006176</v>
      </c>
      <c r="F120" s="158">
        <f t="shared" si="367"/>
        <v>3.4266028790807677</v>
      </c>
      <c r="G120" s="158">
        <f t="shared" si="367"/>
        <v>3.677622860367737</v>
      </c>
      <c r="H120" s="158">
        <f t="shared" si="349"/>
        <v>3.977060638378914</v>
      </c>
      <c r="I120" s="158">
        <f t="shared" si="349"/>
        <v>4.3286388411310677</v>
      </c>
      <c r="J120" s="180">
        <f t="shared" si="350"/>
        <v>4.277100553752625</v>
      </c>
      <c r="K120" s="180"/>
      <c r="L120" s="127"/>
      <c r="M120" s="2"/>
      <c r="N120" s="133" t="s">
        <v>5</v>
      </c>
      <c r="O120" s="158">
        <f t="shared" ref="O120:T120" si="368">+O67/O14</f>
        <v>3.7437580139987467</v>
      </c>
      <c r="P120" s="158">
        <f t="shared" si="368"/>
        <v>3.8717606329868697</v>
      </c>
      <c r="Q120" s="158">
        <f t="shared" si="368"/>
        <v>4.0904676024220601</v>
      </c>
      <c r="R120" s="158">
        <f t="shared" si="368"/>
        <v>3.9381077727141811</v>
      </c>
      <c r="S120" s="158">
        <f t="shared" si="368"/>
        <v>3.5230101946549262</v>
      </c>
      <c r="T120" s="158">
        <f t="shared" si="368"/>
        <v>3.6622415143269436</v>
      </c>
      <c r="U120" s="158">
        <f t="shared" si="355"/>
        <v>3.8450151784190911</v>
      </c>
      <c r="V120" s="158">
        <f t="shared" si="352"/>
        <v>4.0995310983755111</v>
      </c>
      <c r="W120" s="180">
        <f t="shared" ref="W120:W124" si="369">+W67/W14</f>
        <v>4.2371610292400979</v>
      </c>
      <c r="X120" s="181"/>
      <c r="Y120" s="147"/>
      <c r="Z120" s="127"/>
    </row>
    <row r="121" spans="1:26" x14ac:dyDescent="0.25">
      <c r="A121" s="133" t="s">
        <v>6</v>
      </c>
      <c r="B121" s="158">
        <f t="shared" ref="B121:F121" si="370">+B68/B15</f>
        <v>3.8646592020871835</v>
      </c>
      <c r="C121" s="158">
        <f t="shared" si="370"/>
        <v>4.0694352461464538</v>
      </c>
      <c r="D121" s="158">
        <f t="shared" si="370"/>
        <v>4.1065781970867246</v>
      </c>
      <c r="E121" s="158">
        <f t="shared" si="370"/>
        <v>3.751847665420398</v>
      </c>
      <c r="F121" s="158">
        <f t="shared" si="370"/>
        <v>3.4009495908677643</v>
      </c>
      <c r="G121" s="158">
        <f t="shared" si="367"/>
        <v>4.0120893295227491</v>
      </c>
      <c r="H121" s="158">
        <f t="shared" si="349"/>
        <v>3.9123976255385511</v>
      </c>
      <c r="I121" s="158">
        <f t="shared" si="349"/>
        <v>4.5037308507582052</v>
      </c>
      <c r="J121" s="180">
        <f t="shared" si="350"/>
        <v>4.5528567063855787</v>
      </c>
      <c r="K121" s="180"/>
      <c r="L121" s="127"/>
      <c r="M121" s="2"/>
      <c r="N121" s="133" t="s">
        <v>6</v>
      </c>
      <c r="O121" s="158">
        <f t="shared" ref="O121:T121" si="371">+O68/O15</f>
        <v>3.7329938251044839</v>
      </c>
      <c r="P121" s="158">
        <f t="shared" si="371"/>
        <v>3.887967821630562</v>
      </c>
      <c r="Q121" s="158">
        <f t="shared" si="371"/>
        <v>4.093382018129776</v>
      </c>
      <c r="R121" s="158">
        <f t="shared" si="371"/>
        <v>3.9115239526306387</v>
      </c>
      <c r="S121" s="158">
        <f t="shared" si="371"/>
        <v>3.4939326970920876</v>
      </c>
      <c r="T121" s="158">
        <f t="shared" si="371"/>
        <v>3.7184337859005407</v>
      </c>
      <c r="U121" s="158">
        <f t="shared" si="355"/>
        <v>3.8348948177058335</v>
      </c>
      <c r="V121" s="158">
        <f t="shared" si="352"/>
        <v>4.1535265383549351</v>
      </c>
      <c r="W121" s="180">
        <f t="shared" si="369"/>
        <v>4.2416564222522819</v>
      </c>
      <c r="X121" s="181"/>
      <c r="Y121" s="147"/>
      <c r="Z121" s="127"/>
    </row>
    <row r="122" spans="1:26" x14ac:dyDescent="0.25">
      <c r="A122" s="133" t="s">
        <v>7</v>
      </c>
      <c r="B122" s="158">
        <f t="shared" ref="B122:F122" si="372">+B69/B16</f>
        <v>3.6881882261225467</v>
      </c>
      <c r="C122" s="158">
        <f t="shared" si="372"/>
        <v>4.2171894369985736</v>
      </c>
      <c r="D122" s="158">
        <f t="shared" si="372"/>
        <v>4.0344982733333721</v>
      </c>
      <c r="E122" s="158">
        <f t="shared" si="372"/>
        <v>3.4704545943967093</v>
      </c>
      <c r="F122" s="158">
        <f t="shared" si="372"/>
        <v>3.5953007132266199</v>
      </c>
      <c r="G122" s="158">
        <f t="shared" si="367"/>
        <v>3.7291985554060605</v>
      </c>
      <c r="H122" s="158">
        <f t="shared" si="349"/>
        <v>3.9943125194396312</v>
      </c>
      <c r="I122" s="158">
        <f t="shared" si="349"/>
        <v>4.1993616863356342</v>
      </c>
      <c r="J122" s="180">
        <f t="shared" si="350"/>
        <v>4.3075939475740572</v>
      </c>
      <c r="K122" s="180"/>
      <c r="L122" s="127"/>
      <c r="M122" s="2"/>
      <c r="N122" s="133" t="s">
        <v>7</v>
      </c>
      <c r="O122" s="158">
        <f t="shared" ref="O122:V124" si="373">+O69/O16</f>
        <v>3.7076393642807592</v>
      </c>
      <c r="P122" s="158">
        <f t="shared" si="373"/>
        <v>3.9358777574332597</v>
      </c>
      <c r="Q122" s="158">
        <f t="shared" si="373"/>
        <v>4.0765635217282492</v>
      </c>
      <c r="R122" s="158">
        <f t="shared" si="373"/>
        <v>3.8578345930991893</v>
      </c>
      <c r="S122" s="158">
        <f t="shared" si="373"/>
        <v>3.5054403209129075</v>
      </c>
      <c r="T122" s="158">
        <f t="shared" si="373"/>
        <v>3.7299351646833787</v>
      </c>
      <c r="U122" s="158">
        <f t="shared" si="373"/>
        <v>3.8564241495425819</v>
      </c>
      <c r="V122" s="158">
        <f t="shared" si="352"/>
        <v>4.1736897954181131</v>
      </c>
      <c r="W122" s="180">
        <f t="shared" si="369"/>
        <v>4.2512408940323203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374">+B70/B17</f>
        <v>3.9214999458664241</v>
      </c>
      <c r="C123" s="158">
        <f t="shared" si="374"/>
        <v>4.0603438040079682</v>
      </c>
      <c r="D123" s="158">
        <f t="shared" si="374"/>
        <v>3.910769230769231</v>
      </c>
      <c r="E123" s="158">
        <f t="shared" si="374"/>
        <v>3.6540867523958158</v>
      </c>
      <c r="F123" s="158">
        <f t="shared" si="374"/>
        <v>3.6320763261978803</v>
      </c>
      <c r="G123" s="158">
        <f t="shared" si="374"/>
        <v>3.8213717120748107</v>
      </c>
      <c r="H123" s="158">
        <f t="shared" si="349"/>
        <v>3.8771539323460829</v>
      </c>
      <c r="I123" s="158">
        <f t="shared" si="349"/>
        <v>4.1484095970418924</v>
      </c>
      <c r="J123" s="180">
        <f t="shared" si="350"/>
        <v>4.1826965445965758</v>
      </c>
      <c r="K123" s="180"/>
      <c r="L123" s="127"/>
      <c r="M123" s="2"/>
      <c r="N123" s="133" t="s">
        <v>8</v>
      </c>
      <c r="O123" s="158">
        <f t="shared" ref="O123:S123" si="375">+O70/O17</f>
        <v>3.7200348670232675</v>
      </c>
      <c r="P123" s="158">
        <f t="shared" si="375"/>
        <v>3.9467678922780256</v>
      </c>
      <c r="Q123" s="158">
        <f t="shared" si="375"/>
        <v>4.0637299225981218</v>
      </c>
      <c r="R123" s="158">
        <f t="shared" si="375"/>
        <v>3.836921120244376</v>
      </c>
      <c r="S123" s="158">
        <f t="shared" si="375"/>
        <v>3.5044103111160463</v>
      </c>
      <c r="T123" s="158">
        <f t="shared" ref="T123" si="376">+T70/T17</f>
        <v>3.7453437151368076</v>
      </c>
      <c r="U123" s="158">
        <f t="shared" si="373"/>
        <v>3.8610815488208798</v>
      </c>
      <c r="V123" s="158">
        <f t="shared" si="352"/>
        <v>4.1972135372957418</v>
      </c>
      <c r="W123" s="180">
        <f t="shared" si="369"/>
        <v>4.2535871137996315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377">+B71/B18</f>
        <v>3.8691214174801689</v>
      </c>
      <c r="C124" s="158">
        <f t="shared" si="377"/>
        <v>4.2887195581564272</v>
      </c>
      <c r="D124" s="158">
        <f t="shared" si="377"/>
        <v>4.0207561054448666</v>
      </c>
      <c r="E124" s="158">
        <f t="shared" si="377"/>
        <v>3.8499944982394365</v>
      </c>
      <c r="F124" s="158">
        <f t="shared" si="377"/>
        <v>3.7753349603331872</v>
      </c>
      <c r="G124" s="158">
        <f t="shared" si="377"/>
        <v>3.6195494877397709</v>
      </c>
      <c r="H124" s="158">
        <f t="shared" si="349"/>
        <v>3.975795839309213</v>
      </c>
      <c r="I124" s="158">
        <f t="shared" si="349"/>
        <v>4.2491235958798601</v>
      </c>
      <c r="J124" s="180">
        <f t="shared" si="350"/>
        <v>4.2637122167561747</v>
      </c>
      <c r="K124" s="180"/>
      <c r="L124" s="127"/>
      <c r="M124" s="2"/>
      <c r="N124" s="133" t="s">
        <v>9</v>
      </c>
      <c r="O124" s="158">
        <f t="shared" ref="O124:S124" si="378">+O71/O18</f>
        <v>3.724342670779182</v>
      </c>
      <c r="P124" s="158">
        <f t="shared" si="378"/>
        <v>3.9794826062111639</v>
      </c>
      <c r="Q124" s="158">
        <f t="shared" si="378"/>
        <v>4.0427764308760619</v>
      </c>
      <c r="R124" s="158">
        <f t="shared" si="378"/>
        <v>3.8239471283323025</v>
      </c>
      <c r="S124" s="158">
        <f t="shared" si="378"/>
        <v>3.4988115985599286</v>
      </c>
      <c r="T124" s="158">
        <f t="shared" ref="T124" si="379">+T71/T18</f>
        <v>3.733483290284251</v>
      </c>
      <c r="U124" s="158">
        <f t="shared" si="373"/>
        <v>3.8901846713970478</v>
      </c>
      <c r="V124" s="158">
        <f t="shared" si="373"/>
        <v>4.2209881515637928</v>
      </c>
      <c r="W124" s="180">
        <f t="shared" si="369"/>
        <v>4.2547017876292834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377"/>
        <v>3.7243426707791829</v>
      </c>
      <c r="C125" s="182">
        <f t="shared" si="377"/>
        <v>3.9794826062111639</v>
      </c>
      <c r="D125" s="182">
        <f t="shared" si="377"/>
        <v>4.0427764308760619</v>
      </c>
      <c r="E125" s="182">
        <f t="shared" si="377"/>
        <v>3.8239471283323025</v>
      </c>
      <c r="F125" s="182">
        <f t="shared" si="377"/>
        <v>3.4988115985599286</v>
      </c>
      <c r="G125" s="182">
        <f t="shared" ref="G125:H125" si="380">+G72/G19</f>
        <v>3.733483290284251</v>
      </c>
      <c r="H125" s="182">
        <f t="shared" si="380"/>
        <v>3.8901846713970478</v>
      </c>
      <c r="I125" s="182">
        <f t="shared" ref="I125:J125" si="381">+I72/I19</f>
        <v>4.2209881515637928</v>
      </c>
      <c r="J125" s="183">
        <f t="shared" si="381"/>
        <v>4.2547017876292834</v>
      </c>
      <c r="K125" s="183"/>
      <c r="L125" s="137"/>
      <c r="M125" s="3"/>
      <c r="N125" s="134" t="s">
        <v>14</v>
      </c>
      <c r="O125" s="182">
        <f t="shared" ref="O125" si="382">+AVERAGE(O113:O124)</f>
        <v>3.764374531322209</v>
      </c>
      <c r="P125" s="182">
        <f>+AVERAGE(P113:P124)</f>
        <v>3.8416749552739748</v>
      </c>
      <c r="Q125" s="182">
        <f t="shared" ref="Q125:U125" si="383">+AVERAGE(Q113:Q124)</f>
        <v>4.0491785119617676</v>
      </c>
      <c r="R125" s="182">
        <f t="shared" si="383"/>
        <v>3.9398608203447729</v>
      </c>
      <c r="S125" s="182">
        <f t="shared" si="383"/>
        <v>3.6294150002488905</v>
      </c>
      <c r="T125" s="182">
        <f t="shared" si="383"/>
        <v>3.6127486929401216</v>
      </c>
      <c r="U125" s="182">
        <f t="shared" si="383"/>
        <v>3.8168589668967776</v>
      </c>
      <c r="V125" s="182">
        <f t="shared" ref="V125" si="384">+AVERAGE(V113:V124)</f>
        <v>4.0545136913917981</v>
      </c>
      <c r="W125" s="183">
        <f t="shared" ref="W125:X125" si="385">+AVERAGE(W113:W124)</f>
        <v>4.245969082928962</v>
      </c>
      <c r="X125" s="184">
        <f t="shared" si="385"/>
        <v>4.1738122719399211</v>
      </c>
      <c r="Y125" s="149">
        <f>+X125/W125-1</f>
        <v>-1.6994191332939668E-2</v>
      </c>
      <c r="Z125" s="156">
        <f>+POWER(X125/S125,0.2)-1</f>
        <v>2.8345984026761695E-2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386">+C125/C$161</f>
        <v>1.0973996742628946</v>
      </c>
      <c r="D126" s="138">
        <f t="shared" si="386"/>
        <v>1.3557041615990533</v>
      </c>
      <c r="E126" s="138">
        <f t="shared" si="386"/>
        <v>1.4951490675953263</v>
      </c>
      <c r="F126" s="138">
        <f t="shared" si="386"/>
        <v>1.7459426319508629</v>
      </c>
      <c r="G126" s="138">
        <f t="shared" ref="G126:H126" si="387">+G125/G$161</f>
        <v>1.3991085056590906</v>
      </c>
      <c r="H126" s="138">
        <f t="shared" si="387"/>
        <v>1.2493182557319722</v>
      </c>
      <c r="I126" s="138">
        <f t="shared" ref="I126:J126" si="388">+I125/I$161</f>
        <v>1.2234764655893042</v>
      </c>
      <c r="J126" s="139">
        <f t="shared" si="388"/>
        <v>1.2379839387244771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389">+P125/P$161</f>
        <v>1.1260100193888452</v>
      </c>
      <c r="Q126" s="138">
        <f t="shared" ref="Q126" si="390">+Q125/Q$161</f>
        <v>1.1716190474692556</v>
      </c>
      <c r="R126" s="138">
        <f t="shared" ref="R126" si="391">+R125/R$161</f>
        <v>1.4402937082227394</v>
      </c>
      <c r="S126" s="138">
        <f t="shared" ref="S126:T126" si="392">+S125/S$161</f>
        <v>1.7350606912880495</v>
      </c>
      <c r="T126" s="222">
        <f t="shared" si="392"/>
        <v>1.5027337615989156</v>
      </c>
      <c r="U126" s="138">
        <f t="shared" ref="U126" si="393">+U125/U$161</f>
        <v>1.3114190410137434</v>
      </c>
      <c r="V126" s="138">
        <f t="shared" ref="V126" si="394">+V125/V$161</f>
        <v>1.226225390314196</v>
      </c>
      <c r="W126" s="139">
        <f t="shared" ref="W126:X126" si="395">+W125/W$161</f>
        <v>1.2254726331629167</v>
      </c>
      <c r="X126" s="223">
        <f t="shared" si="395"/>
        <v>1.2352650995560326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396">+D125/C125-1</f>
        <v>1.5905038651534475E-2</v>
      </c>
      <c r="E127" s="142">
        <f t="shared" ref="E127" si="397">+E125/D125-1</f>
        <v>-5.4128469947654079E-2</v>
      </c>
      <c r="F127" s="142">
        <f t="shared" ref="F127:J127" si="398">+F125/E125-1</f>
        <v>-8.5026157229891375E-2</v>
      </c>
      <c r="G127" s="142">
        <f t="shared" si="398"/>
        <v>6.707182856627969E-2</v>
      </c>
      <c r="H127" s="142">
        <f t="shared" si="398"/>
        <v>4.1971898339704827E-2</v>
      </c>
      <c r="I127" s="142">
        <f t="shared" si="398"/>
        <v>8.503541813811788E-2</v>
      </c>
      <c r="J127" s="143">
        <f t="shared" si="398"/>
        <v>7.9871430231330809E-3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399">+Q125/P125-1</f>
        <v>5.401382446553038E-2</v>
      </c>
      <c r="R127" s="142">
        <f t="shared" ref="R127" si="400">+R125/Q125-1</f>
        <v>-2.699749870104684E-2</v>
      </c>
      <c r="S127" s="142">
        <f t="shared" ref="S127" si="401">+S125/R125-1</f>
        <v>-7.8796138810993788E-2</v>
      </c>
      <c r="T127" s="142">
        <f t="shared" ref="T127:X127" si="402">+T125/S125-1</f>
        <v>-4.5920092653020106E-3</v>
      </c>
      <c r="U127" s="142">
        <f t="shared" si="402"/>
        <v>5.6497224497103815E-2</v>
      </c>
      <c r="V127" s="142">
        <f t="shared" si="402"/>
        <v>6.2264476250281975E-2</v>
      </c>
      <c r="W127" s="143">
        <f t="shared" si="402"/>
        <v>4.722030953888412E-2</v>
      </c>
      <c r="X127" s="155">
        <f t="shared" si="402"/>
        <v>-1.6994191332939668E-2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47" t="s">
        <v>176</v>
      </c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9"/>
      <c r="M129" s="2"/>
      <c r="N129" s="347" t="s">
        <v>177</v>
      </c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9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03">+F130+1</f>
        <v>2021</v>
      </c>
      <c r="H130" s="129">
        <f t="shared" ref="H130" si="404">+G130+1</f>
        <v>2022</v>
      </c>
      <c r="I130" s="129">
        <f t="shared" ref="I130:K130" si="405">+H130+1</f>
        <v>2023</v>
      </c>
      <c r="J130" s="130">
        <f t="shared" si="405"/>
        <v>2024</v>
      </c>
      <c r="K130" s="130">
        <f t="shared" si="405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406">+P130+1</f>
        <v>2018</v>
      </c>
      <c r="R130" s="129">
        <f t="shared" ref="R130" si="407">+Q130+1</f>
        <v>2019</v>
      </c>
      <c r="S130" s="129">
        <f t="shared" ref="S130" si="408">+R130+1</f>
        <v>2020</v>
      </c>
      <c r="T130" s="129">
        <f t="shared" ref="T130" si="409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410">+C78/C25</f>
        <v>1.436690457309014</v>
      </c>
      <c r="D131" s="158">
        <f t="shared" si="410"/>
        <v>1.5253606328524896</v>
      </c>
      <c r="E131" s="158">
        <f t="shared" si="410"/>
        <v>0.58134567174766438</v>
      </c>
      <c r="F131" s="158">
        <f t="shared" si="410"/>
        <v>0.3474280388817888</v>
      </c>
      <c r="G131" s="158">
        <f t="shared" si="410"/>
        <v>0.73182688799708129</v>
      </c>
      <c r="H131" s="158">
        <f t="shared" si="410"/>
        <v>0.79363652705374799</v>
      </c>
      <c r="I131" s="158">
        <f t="shared" si="410"/>
        <v>0.95402278733570178</v>
      </c>
      <c r="J131" s="180">
        <f t="shared" ref="J131:K142" si="411">+J78/J25</f>
        <v>0.94806094182825495</v>
      </c>
      <c r="K131" s="180">
        <f t="shared" si="411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412">+P78/P25</f>
        <v>1.0918478738780659</v>
      </c>
      <c r="Q131" s="158">
        <f t="shared" si="412"/>
        <v>1.4684623858427204</v>
      </c>
      <c r="R131" s="158">
        <f t="shared" si="412"/>
        <v>0.71658220260476269</v>
      </c>
      <c r="S131" s="158">
        <f t="shared" si="412"/>
        <v>0.50801257854330484</v>
      </c>
      <c r="T131" s="158">
        <f t="shared" si="412"/>
        <v>0.4759535645464259</v>
      </c>
      <c r="U131" s="158">
        <f t="shared" si="412"/>
        <v>0.64557954408394647</v>
      </c>
      <c r="V131" s="158">
        <f t="shared" si="412"/>
        <v>0.86262989614210484</v>
      </c>
      <c r="W131" s="180">
        <f t="shared" si="412"/>
        <v>1.0031251678032542</v>
      </c>
      <c r="X131" s="181">
        <f t="shared" si="412"/>
        <v>0.9967358744333521</v>
      </c>
      <c r="Y131" s="147">
        <f>+X131/W131-1</f>
        <v>-6.3693879637114481E-3</v>
      </c>
      <c r="Z131" s="127">
        <f>+POWER(X131/S131,0.2)-1</f>
        <v>0.144303232570822</v>
      </c>
    </row>
    <row r="132" spans="1:26" x14ac:dyDescent="0.25">
      <c r="A132" s="133" t="s">
        <v>11</v>
      </c>
      <c r="B132" s="158">
        <f t="shared" ref="B132:H132" si="413">+B79/B26</f>
        <v>0.99788628397614831</v>
      </c>
      <c r="C132" s="158">
        <f t="shared" si="413"/>
        <v>1.3980992608236535</v>
      </c>
      <c r="D132" s="158">
        <f t="shared" si="413"/>
        <v>1.8678598629093681</v>
      </c>
      <c r="E132" s="158">
        <f t="shared" si="413"/>
        <v>0.71607670649539845</v>
      </c>
      <c r="F132" s="158">
        <f t="shared" si="413"/>
        <v>0.29349511714656945</v>
      </c>
      <c r="G132" s="158">
        <f t="shared" si="413"/>
        <v>0.58775560131291915</v>
      </c>
      <c r="H132" s="158">
        <f t="shared" si="413"/>
        <v>0.92185951437066405</v>
      </c>
      <c r="I132" s="158">
        <f t="shared" si="410"/>
        <v>0.92349430276722733</v>
      </c>
      <c r="J132" s="180">
        <f t="shared" si="411"/>
        <v>1.1364844996402541</v>
      </c>
      <c r="K132" s="180">
        <f t="shared" si="411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414">+O79/O26</f>
        <v>0.93493898756921445</v>
      </c>
      <c r="P132" s="158">
        <f t="shared" si="414"/>
        <v>1.1177168328756799</v>
      </c>
      <c r="Q132" s="158">
        <f t="shared" si="414"/>
        <v>1.5112590010387503</v>
      </c>
      <c r="R132" s="158">
        <f t="shared" si="414"/>
        <v>0.68736771088802717</v>
      </c>
      <c r="S132" s="158">
        <f t="shared" si="414"/>
        <v>0.46011844247703149</v>
      </c>
      <c r="T132" s="158">
        <f t="shared" si="414"/>
        <v>0.51698696496399921</v>
      </c>
      <c r="U132" s="158">
        <f t="shared" si="414"/>
        <v>0.66707188885334312</v>
      </c>
      <c r="V132" s="158">
        <f t="shared" si="412"/>
        <v>0.86019718877540818</v>
      </c>
      <c r="W132" s="180">
        <f t="shared" si="412"/>
        <v>1.0187504612726348</v>
      </c>
      <c r="X132" s="181">
        <f t="shared" si="412"/>
        <v>0.99105480020457204</v>
      </c>
      <c r="Y132" s="147">
        <f>+X132/W132-1</f>
        <v>-2.718591266546766E-2</v>
      </c>
      <c r="Z132" s="127">
        <f>+POWER(X132/S132,0.2)-1</f>
        <v>0.1658578618512716</v>
      </c>
    </row>
    <row r="133" spans="1:26" x14ac:dyDescent="0.25">
      <c r="A133" s="133" t="s">
        <v>0</v>
      </c>
      <c r="B133" s="158">
        <f t="shared" ref="B133:H133" si="415">+B80/B27</f>
        <v>1.1541382643198697</v>
      </c>
      <c r="C133" s="158">
        <f t="shared" si="415"/>
        <v>1.4008690928843022</v>
      </c>
      <c r="D133" s="158">
        <f t="shared" si="415"/>
        <v>1.4153960580141316</v>
      </c>
      <c r="E133" s="158">
        <f t="shared" si="415"/>
        <v>0.78407773260336699</v>
      </c>
      <c r="F133" s="158">
        <f t="shared" si="415"/>
        <v>0.41024913967546106</v>
      </c>
      <c r="G133" s="158">
        <f t="shared" si="415"/>
        <v>0.61068569590877086</v>
      </c>
      <c r="H133" s="158">
        <f t="shared" si="415"/>
        <v>0.80069544905570234</v>
      </c>
      <c r="I133" s="158">
        <f t="shared" si="410"/>
        <v>1.0829694323144106</v>
      </c>
      <c r="J133" s="180">
        <f t="shared" si="411"/>
        <v>1.0185106201484262</v>
      </c>
      <c r="K133" s="180">
        <f t="shared" si="411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416">+O80/O27</f>
        <v>0.97178444226339822</v>
      </c>
      <c r="P133" s="158">
        <f t="shared" si="416"/>
        <v>1.1258298552092727</v>
      </c>
      <c r="Q133" s="158">
        <f t="shared" si="416"/>
        <v>1.509393965296179</v>
      </c>
      <c r="R133" s="158">
        <f t="shared" si="416"/>
        <v>0.6753121623578423</v>
      </c>
      <c r="S133" s="158">
        <f t="shared" si="416"/>
        <v>0.44236954510326015</v>
      </c>
      <c r="T133" s="158">
        <f t="shared" si="416"/>
        <v>0.53521246927207478</v>
      </c>
      <c r="U133" s="158">
        <f t="shared" si="416"/>
        <v>0.68277396604150831</v>
      </c>
      <c r="V133" s="158">
        <f t="shared" si="412"/>
        <v>0.88238541345326438</v>
      </c>
      <c r="W133" s="180">
        <f t="shared" si="412"/>
        <v>1.01290937045648</v>
      </c>
      <c r="X133" s="181">
        <f t="shared" si="412"/>
        <v>0.99129536226428139</v>
      </c>
      <c r="Y133" s="147">
        <f>+X133/W133-1</f>
        <v>-2.1338541060645921E-2</v>
      </c>
      <c r="Z133" s="127">
        <f>+POWER(X133/S133,0.2)-1</f>
        <v>0.17512366091077425</v>
      </c>
    </row>
    <row r="134" spans="1:26" x14ac:dyDescent="0.25">
      <c r="A134" s="133" t="s">
        <v>1</v>
      </c>
      <c r="B134" s="158">
        <f t="shared" ref="B134:H134" si="417">+B81/B28</f>
        <v>0.75326569238884256</v>
      </c>
      <c r="C134" s="158">
        <f t="shared" si="417"/>
        <v>1.3954577382346054</v>
      </c>
      <c r="D134" s="158">
        <f t="shared" si="417"/>
        <v>1.1688148854004714</v>
      </c>
      <c r="E134" s="158">
        <f t="shared" si="417"/>
        <v>0.71777075316107752</v>
      </c>
      <c r="F134" s="158">
        <f t="shared" si="417"/>
        <v>0.43402097314765192</v>
      </c>
      <c r="G134" s="158">
        <f t="shared" si="417"/>
        <v>0.57137689023949068</v>
      </c>
      <c r="H134" s="158">
        <f t="shared" si="417"/>
        <v>0.71534367044665592</v>
      </c>
      <c r="I134" s="158">
        <f t="shared" si="410"/>
        <v>0.95040475458551077</v>
      </c>
      <c r="J134" s="180">
        <f t="shared" si="411"/>
        <v>0.9765780905367083</v>
      </c>
      <c r="K134" s="180"/>
      <c r="L134" s="127"/>
      <c r="M134" s="2"/>
      <c r="N134" s="133" t="s">
        <v>1</v>
      </c>
      <c r="O134" s="158">
        <f t="shared" ref="O134:U134" si="418">+O81/O28</f>
        <v>0.94945658647296971</v>
      </c>
      <c r="P134" s="158">
        <f t="shared" si="418"/>
        <v>1.1716487383043552</v>
      </c>
      <c r="Q134" s="158">
        <f t="shared" si="418"/>
        <v>1.4724885732501454</v>
      </c>
      <c r="R134" s="158">
        <f t="shared" si="418"/>
        <v>0.65960604351373708</v>
      </c>
      <c r="S134" s="158">
        <f t="shared" si="418"/>
        <v>0.43259245686014586</v>
      </c>
      <c r="T134" s="158">
        <f t="shared" si="418"/>
        <v>0.54687381273468616</v>
      </c>
      <c r="U134" s="158">
        <f t="shared" si="418"/>
        <v>0.70093840144590425</v>
      </c>
      <c r="V134" s="158">
        <f t="shared" si="412"/>
        <v>0.91244727593812769</v>
      </c>
      <c r="W134" s="180">
        <f t="shared" si="412"/>
        <v>1.0144430051813473</v>
      </c>
      <c r="X134" s="181">
        <f t="shared" si="412"/>
        <v>0.92048601787187834</v>
      </c>
      <c r="Y134" s="147">
        <f>+X134/W134-1</f>
        <v>-9.2619286475017604E-2</v>
      </c>
      <c r="Z134" s="127">
        <f>+POWER(X134/S134,0.2)-1</f>
        <v>0.16302125205423534</v>
      </c>
    </row>
    <row r="135" spans="1:26" x14ac:dyDescent="0.25">
      <c r="A135" s="133" t="s">
        <v>2</v>
      </c>
      <c r="B135" s="158">
        <f t="shared" ref="B135:H135" si="419">+B82/B29</f>
        <v>0.86020721133074673</v>
      </c>
      <c r="C135" s="158">
        <f t="shared" si="419"/>
        <v>1.4563971992361553</v>
      </c>
      <c r="D135" s="158">
        <f t="shared" si="419"/>
        <v>1.0849785407725323</v>
      </c>
      <c r="E135" s="158">
        <f t="shared" si="419"/>
        <v>0.79778413543014381</v>
      </c>
      <c r="F135" s="158">
        <f t="shared" si="419"/>
        <v>0.45532508836376012</v>
      </c>
      <c r="G135" s="158">
        <f t="shared" si="419"/>
        <v>0.68314492025721885</v>
      </c>
      <c r="H135" s="158">
        <f t="shared" si="419"/>
        <v>0.80235010002342888</v>
      </c>
      <c r="I135" s="158">
        <f t="shared" si="410"/>
        <v>1.055036855036855</v>
      </c>
      <c r="J135" s="180">
        <f t="shared" si="411"/>
        <v>1.0525414538086133</v>
      </c>
      <c r="K135" s="180"/>
      <c r="L135" s="127"/>
      <c r="M135" s="2"/>
      <c r="N135" s="133" t="s">
        <v>2</v>
      </c>
      <c r="O135" s="158">
        <f t="shared" ref="O135:U135" si="420">+O82/O29</f>
        <v>0.94390085050981409</v>
      </c>
      <c r="P135" s="158">
        <f t="shared" si="420"/>
        <v>1.2180554375148323</v>
      </c>
      <c r="Q135" s="158">
        <f t="shared" si="420"/>
        <v>1.4268042569945993</v>
      </c>
      <c r="R135" s="158">
        <f t="shared" si="420"/>
        <v>0.65080972754371214</v>
      </c>
      <c r="S135" s="158">
        <f t="shared" si="420"/>
        <v>0.42345756026336362</v>
      </c>
      <c r="T135" s="158">
        <f t="shared" si="420"/>
        <v>0.56681755955954216</v>
      </c>
      <c r="U135" s="158">
        <f t="shared" si="420"/>
        <v>0.70925378233805614</v>
      </c>
      <c r="V135" s="158">
        <f t="shared" si="412"/>
        <v>0.93395986195662561</v>
      </c>
      <c r="W135" s="180">
        <f t="shared" si="412"/>
        <v>1.0137496475710268</v>
      </c>
      <c r="X135" s="181"/>
      <c r="Y135" s="147"/>
      <c r="Z135" s="127"/>
    </row>
    <row r="136" spans="1:26" x14ac:dyDescent="0.25">
      <c r="A136" s="133" t="s">
        <v>3</v>
      </c>
      <c r="B136" s="158">
        <f t="shared" ref="B136:H136" si="421">+B83/B30</f>
        <v>1.0141438623924941</v>
      </c>
      <c r="C136" s="158">
        <f t="shared" si="421"/>
        <v>1.5003561253561255</v>
      </c>
      <c r="D136" s="158">
        <f t="shared" si="421"/>
        <v>1.393042118635786</v>
      </c>
      <c r="E136" s="158">
        <f t="shared" si="421"/>
        <v>0.60340412712757951</v>
      </c>
      <c r="F136" s="158">
        <f t="shared" si="421"/>
        <v>0.54791779565634247</v>
      </c>
      <c r="G136" s="158">
        <f t="shared" si="421"/>
        <v>0.64383873661832813</v>
      </c>
      <c r="H136" s="158">
        <f t="shared" si="421"/>
        <v>0.94983452360216003</v>
      </c>
      <c r="I136" s="158">
        <f t="shared" si="410"/>
        <v>1.0129588732863868</v>
      </c>
      <c r="J136" s="180">
        <f t="shared" si="411"/>
        <v>0.93704891740176421</v>
      </c>
      <c r="K136" s="180"/>
      <c r="L136" s="127"/>
      <c r="M136" s="2"/>
      <c r="N136" s="133" t="s">
        <v>3</v>
      </c>
      <c r="O136" s="158">
        <f t="shared" ref="O136:U136" si="422">+O83/O30</f>
        <v>0.95245306681438513</v>
      </c>
      <c r="P136" s="158">
        <f t="shared" si="422"/>
        <v>1.2574450612807602</v>
      </c>
      <c r="Q136" s="158">
        <f t="shared" si="422"/>
        <v>1.4185200769415722</v>
      </c>
      <c r="R136" s="158">
        <f t="shared" si="422"/>
        <v>0.63494219853246558</v>
      </c>
      <c r="S136" s="158">
        <f t="shared" si="422"/>
        <v>0.42503599712023038</v>
      </c>
      <c r="T136" s="158">
        <f t="shared" si="422"/>
        <v>0.5738502200733443</v>
      </c>
      <c r="U136" s="158">
        <f t="shared" si="422"/>
        <v>0.73255295780480545</v>
      </c>
      <c r="V136" s="158">
        <f t="shared" si="412"/>
        <v>0.93585200104549437</v>
      </c>
      <c r="W136" s="180">
        <f t="shared" si="412"/>
        <v>1.009618740184959</v>
      </c>
      <c r="X136" s="181"/>
      <c r="Y136" s="147"/>
      <c r="Z136" s="127"/>
    </row>
    <row r="137" spans="1:26" x14ac:dyDescent="0.25">
      <c r="A137" s="133" t="s">
        <v>4</v>
      </c>
      <c r="B137" s="158">
        <f t="shared" ref="B137:H137" si="423">+B84/B31</f>
        <v>0.85094948047294872</v>
      </c>
      <c r="C137" s="158">
        <f t="shared" si="423"/>
        <v>1.4351571594877763</v>
      </c>
      <c r="D137" s="158">
        <f t="shared" si="423"/>
        <v>0.92004708608157859</v>
      </c>
      <c r="E137" s="158">
        <f t="shared" si="423"/>
        <v>0.53761361438793265</v>
      </c>
      <c r="F137" s="158">
        <f t="shared" si="423"/>
        <v>0.49603685481457771</v>
      </c>
      <c r="G137" s="158">
        <f t="shared" si="423"/>
        <v>0.62381395573713017</v>
      </c>
      <c r="H137" s="158">
        <f t="shared" si="423"/>
        <v>0.86514920929001526</v>
      </c>
      <c r="I137" s="158">
        <f t="shared" si="410"/>
        <v>1.1086721384488132</v>
      </c>
      <c r="J137" s="180">
        <f t="shared" si="411"/>
        <v>1.0134721371708513</v>
      </c>
      <c r="K137" s="180"/>
      <c r="L137" s="127"/>
      <c r="M137" s="2"/>
      <c r="N137" s="133" t="s">
        <v>4</v>
      </c>
      <c r="O137" s="158">
        <f t="shared" ref="O137:U137" si="424">+O84/O31</f>
        <v>0.94448589529416327</v>
      </c>
      <c r="P137" s="158">
        <f t="shared" si="424"/>
        <v>1.3049993753069333</v>
      </c>
      <c r="Q137" s="158">
        <f t="shared" si="424"/>
        <v>1.3444035047318268</v>
      </c>
      <c r="R137" s="158">
        <f t="shared" si="424"/>
        <v>0.61459674592278202</v>
      </c>
      <c r="S137" s="158">
        <f t="shared" si="424"/>
        <v>0.42489383454119051</v>
      </c>
      <c r="T137" s="158">
        <f t="shared" si="424"/>
        <v>0.58467103775717844</v>
      </c>
      <c r="U137" s="158">
        <f t="shared" si="424"/>
        <v>0.74810584541785041</v>
      </c>
      <c r="V137" s="158">
        <f t="shared" si="412"/>
        <v>0.95036584243465461</v>
      </c>
      <c r="W137" s="180">
        <f t="shared" si="412"/>
        <v>1.0036761527599962</v>
      </c>
      <c r="X137" s="181"/>
      <c r="Y137" s="147"/>
      <c r="Z137" s="127"/>
    </row>
    <row r="138" spans="1:26" x14ac:dyDescent="0.25">
      <c r="A138" s="133" t="s">
        <v>5</v>
      </c>
      <c r="B138" s="158">
        <f t="shared" ref="B138:H138" si="425">+B85/B32</f>
        <v>0.91418744951482811</v>
      </c>
      <c r="C138" s="158">
        <f t="shared" si="425"/>
        <v>1.3087366235425653</v>
      </c>
      <c r="D138" s="158">
        <f t="shared" si="425"/>
        <v>0.42325622196045015</v>
      </c>
      <c r="E138" s="158">
        <f t="shared" si="425"/>
        <v>0.59318555008210183</v>
      </c>
      <c r="F138" s="158">
        <f t="shared" si="425"/>
        <v>0.54790979712736831</v>
      </c>
      <c r="G138" s="158">
        <f t="shared" si="425"/>
        <v>0.52451345593328891</v>
      </c>
      <c r="H138" s="158">
        <f t="shared" si="425"/>
        <v>0.9223733851606265</v>
      </c>
      <c r="I138" s="158">
        <f t="shared" si="410"/>
        <v>1.0333026678932842</v>
      </c>
      <c r="J138" s="180">
        <f t="shared" si="411"/>
        <v>0.99672198320016392</v>
      </c>
      <c r="K138" s="180"/>
      <c r="L138" s="127"/>
      <c r="M138" s="2"/>
      <c r="N138" s="133" t="s">
        <v>5</v>
      </c>
      <c r="O138" s="158">
        <f t="shared" ref="O138:U138" si="426">+O85/O32</f>
        <v>0.94152542504172221</v>
      </c>
      <c r="P138" s="158">
        <f t="shared" si="426"/>
        <v>1.3568868762064556</v>
      </c>
      <c r="Q138" s="158">
        <f t="shared" si="426"/>
        <v>1.048503716623906</v>
      </c>
      <c r="R138" s="158">
        <f t="shared" si="426"/>
        <v>0.63911356549060327</v>
      </c>
      <c r="S138" s="158">
        <f t="shared" si="426"/>
        <v>0.42426001484714693</v>
      </c>
      <c r="T138" s="158">
        <f t="shared" si="426"/>
        <v>0.58516005857383824</v>
      </c>
      <c r="U138" s="158">
        <f t="shared" si="426"/>
        <v>0.77888743525557347</v>
      </c>
      <c r="V138" s="158">
        <f t="shared" si="412"/>
        <v>0.95725341402363673</v>
      </c>
      <c r="W138" s="180">
        <f t="shared" si="412"/>
        <v>1.0014207764415168</v>
      </c>
      <c r="X138" s="181"/>
      <c r="Y138" s="147"/>
      <c r="Z138" s="127"/>
    </row>
    <row r="139" spans="1:26" x14ac:dyDescent="0.25">
      <c r="A139" s="133" t="s">
        <v>6</v>
      </c>
      <c r="B139" s="158">
        <f t="shared" ref="B139:H139" si="427">+B86/B33</f>
        <v>1.1564535054268115</v>
      </c>
      <c r="C139" s="158">
        <f t="shared" si="427"/>
        <v>1.4922689679971235</v>
      </c>
      <c r="D139" s="158">
        <f t="shared" si="427"/>
        <v>0.48848536185081265</v>
      </c>
      <c r="E139" s="158">
        <f t="shared" si="427"/>
        <v>0.45109158215322148</v>
      </c>
      <c r="F139" s="158">
        <f t="shared" si="427"/>
        <v>0.5007768213310938</v>
      </c>
      <c r="G139" s="158">
        <f t="shared" si="427"/>
        <v>0.66689485213581601</v>
      </c>
      <c r="H139" s="158">
        <f t="shared" si="427"/>
        <v>0.92900431551560281</v>
      </c>
      <c r="I139" s="158">
        <f t="shared" si="410"/>
        <v>1.0204754973313925</v>
      </c>
      <c r="J139" s="180">
        <f t="shared" si="411"/>
        <v>0.98768472906403948</v>
      </c>
      <c r="K139" s="180"/>
      <c r="L139" s="127"/>
      <c r="M139" s="2"/>
      <c r="N139" s="133" t="s">
        <v>6</v>
      </c>
      <c r="O139" s="158">
        <f t="shared" ref="O139:U139" si="428">+O86/O33</f>
        <v>0.94753560477711474</v>
      </c>
      <c r="P139" s="158">
        <f t="shared" si="428"/>
        <v>1.386158303664401</v>
      </c>
      <c r="Q139" s="158">
        <f t="shared" si="428"/>
        <v>0.86792481674272137</v>
      </c>
      <c r="R139" s="158">
        <f t="shared" si="428"/>
        <v>0.64869055823569943</v>
      </c>
      <c r="S139" s="158">
        <f t="shared" si="428"/>
        <v>0.42751988274887626</v>
      </c>
      <c r="T139" s="158">
        <f t="shared" si="428"/>
        <v>0.59745603328497188</v>
      </c>
      <c r="U139" s="158">
        <f t="shared" si="428"/>
        <v>0.80131101651608949</v>
      </c>
      <c r="V139" s="158">
        <f t="shared" si="412"/>
        <v>0.96755322822426337</v>
      </c>
      <c r="W139" s="180">
        <f t="shared" si="412"/>
        <v>0.99832039053940835</v>
      </c>
      <c r="X139" s="181"/>
      <c r="Y139" s="147"/>
      <c r="Z139" s="127"/>
    </row>
    <row r="140" spans="1:26" x14ac:dyDescent="0.25">
      <c r="A140" s="133" t="s">
        <v>7</v>
      </c>
      <c r="B140" s="158">
        <f t="shared" ref="B140:H140" si="429">+B87/B34</f>
        <v>1.5076193403890914</v>
      </c>
      <c r="C140" s="158">
        <f t="shared" si="429"/>
        <v>1.7030418769608511</v>
      </c>
      <c r="D140" s="158">
        <f t="shared" si="429"/>
        <v>0.6084782528769439</v>
      </c>
      <c r="E140" s="158">
        <f t="shared" si="429"/>
        <v>0.49723584101589685</v>
      </c>
      <c r="F140" s="158">
        <f t="shared" si="429"/>
        <v>0.54587775942333683</v>
      </c>
      <c r="G140" s="158">
        <f t="shared" si="429"/>
        <v>0.65460607718256292</v>
      </c>
      <c r="H140" s="158">
        <f t="shared" si="429"/>
        <v>0.73702882483370291</v>
      </c>
      <c r="I140" s="158">
        <f t="shared" si="410"/>
        <v>0.96538329715526094</v>
      </c>
      <c r="J140" s="180">
        <f t="shared" si="411"/>
        <v>1.0714351215038973</v>
      </c>
      <c r="K140" s="180"/>
      <c r="L140" s="127"/>
      <c r="M140" s="2"/>
      <c r="N140" s="133" t="s">
        <v>7</v>
      </c>
      <c r="O140" s="158">
        <f t="shared" ref="O140:U142" si="430">+O87/O34</f>
        <v>0.99366603618942073</v>
      </c>
      <c r="P140" s="158">
        <f t="shared" si="430"/>
        <v>1.39703267183872</v>
      </c>
      <c r="Q140" s="158">
        <f t="shared" si="430"/>
        <v>0.78311685839556855</v>
      </c>
      <c r="R140" s="158">
        <f t="shared" si="430"/>
        <v>0.63614754250891981</v>
      </c>
      <c r="S140" s="158">
        <f t="shared" si="430"/>
        <v>0.43094756802920298</v>
      </c>
      <c r="T140" s="158">
        <f t="shared" si="430"/>
        <v>0.60648854318701373</v>
      </c>
      <c r="U140" s="158">
        <f t="shared" si="430"/>
        <v>0.81227656888462407</v>
      </c>
      <c r="V140" s="158">
        <f t="shared" si="412"/>
        <v>0.9885351511979128</v>
      </c>
      <c r="W140" s="180">
        <f t="shared" si="412"/>
        <v>1.0090202324444515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431">+B88/B35</f>
        <v>1.0377688747131355</v>
      </c>
      <c r="C141" s="158">
        <f t="shared" si="431"/>
        <v>1.460335998562573</v>
      </c>
      <c r="D141" s="158">
        <f t="shared" si="431"/>
        <v>0.88076542211188447</v>
      </c>
      <c r="E141" s="158">
        <f t="shared" si="431"/>
        <v>0.54601453517169329</v>
      </c>
      <c r="F141" s="158">
        <f t="shared" si="431"/>
        <v>0.46453147234838887</v>
      </c>
      <c r="G141" s="158">
        <f t="shared" si="431"/>
        <v>0.64998368412465324</v>
      </c>
      <c r="H141" s="158">
        <f t="shared" si="431"/>
        <v>0.95402278733570178</v>
      </c>
      <c r="I141" s="158">
        <f t="shared" si="410"/>
        <v>0.93361578316020521</v>
      </c>
      <c r="J141" s="180">
        <f t="shared" si="411"/>
        <v>0.93843607125965622</v>
      </c>
      <c r="K141" s="180"/>
      <c r="L141" s="127"/>
      <c r="M141" s="2"/>
      <c r="N141" s="133" t="s">
        <v>8</v>
      </c>
      <c r="O141" s="158">
        <f t="shared" ref="O141:S141" si="432">+O88/O35</f>
        <v>1.0056467690110651</v>
      </c>
      <c r="P141" s="158">
        <f t="shared" si="432"/>
        <v>1.4281249817457491</v>
      </c>
      <c r="Q141" s="158">
        <f t="shared" si="432"/>
        <v>0.77347446151494681</v>
      </c>
      <c r="R141" s="158">
        <f t="shared" si="432"/>
        <v>0.61016840459352129</v>
      </c>
      <c r="S141" s="158">
        <f t="shared" si="432"/>
        <v>0.42721864839883666</v>
      </c>
      <c r="T141" s="158">
        <f t="shared" si="430"/>
        <v>0.62842305805506471</v>
      </c>
      <c r="U141" s="158">
        <f t="shared" si="430"/>
        <v>0.84554199243100081</v>
      </c>
      <c r="V141" s="158">
        <f t="shared" si="412"/>
        <v>0.98815491001494649</v>
      </c>
      <c r="W141" s="180">
        <f t="shared" si="412"/>
        <v>1.0078112502818641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433">+B89/B36</f>
        <v>1.2783436791983644</v>
      </c>
      <c r="C142" s="158">
        <f t="shared" si="433"/>
        <v>1.492031470647569</v>
      </c>
      <c r="D142" s="158">
        <f t="shared" si="433"/>
        <v>0.79228839297504283</v>
      </c>
      <c r="E142" s="158">
        <f t="shared" si="433"/>
        <v>0.37108759088425886</v>
      </c>
      <c r="F142" s="158">
        <f t="shared" si="433"/>
        <v>0.61114659173159624</v>
      </c>
      <c r="G142" s="158">
        <f t="shared" si="433"/>
        <v>0.82689843831157583</v>
      </c>
      <c r="H142" s="158">
        <f t="shared" si="433"/>
        <v>0.86701958966602422</v>
      </c>
      <c r="I142" s="158">
        <f t="shared" si="410"/>
        <v>1.0259712837837838</v>
      </c>
      <c r="J142" s="180">
        <f t="shared" si="411"/>
        <v>0.92408088235294117</v>
      </c>
      <c r="K142" s="180"/>
      <c r="L142" s="127"/>
      <c r="M142" s="2"/>
      <c r="N142" s="133" t="s">
        <v>9</v>
      </c>
      <c r="O142" s="158">
        <f t="shared" ref="O142:S142" si="434">+O89/O36</f>
        <v>1.051110977670149</v>
      </c>
      <c r="P142" s="158">
        <f t="shared" si="434"/>
        <v>1.4591763028873506</v>
      </c>
      <c r="Q142" s="158">
        <f t="shared" si="434"/>
        <v>0.75503130955315645</v>
      </c>
      <c r="R142" s="158">
        <f t="shared" si="434"/>
        <v>0.55427341454906753</v>
      </c>
      <c r="S142" s="158">
        <f t="shared" si="434"/>
        <v>0.44493310015832438</v>
      </c>
      <c r="T142" s="158">
        <f t="shared" si="430"/>
        <v>0.64500050877068926</v>
      </c>
      <c r="U142" s="158">
        <f t="shared" si="430"/>
        <v>0.84923237993274658</v>
      </c>
      <c r="V142" s="158">
        <f t="shared" si="412"/>
        <v>1.0022486816634404</v>
      </c>
      <c r="W142" s="180">
        <f t="shared" si="412"/>
        <v>0.99751476972164288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433"/>
        <v>1.0511109776701488</v>
      </c>
      <c r="C143" s="182">
        <f t="shared" si="433"/>
        <v>1.4591763028873506</v>
      </c>
      <c r="D143" s="182">
        <f t="shared" si="433"/>
        <v>0.75503130955315645</v>
      </c>
      <c r="E143" s="182">
        <f t="shared" si="433"/>
        <v>0.55427341454906753</v>
      </c>
      <c r="F143" s="182">
        <f t="shared" si="433"/>
        <v>0.44493310015832438</v>
      </c>
      <c r="G143" s="182">
        <f t="shared" si="433"/>
        <v>0.64500050877068926</v>
      </c>
      <c r="H143" s="182">
        <f t="shared" si="433"/>
        <v>0.84923237993274658</v>
      </c>
      <c r="I143" s="182">
        <f t="shared" ref="I143:J143" si="435">+I90/I37</f>
        <v>1.0022486816634404</v>
      </c>
      <c r="J143" s="183">
        <f t="shared" si="435"/>
        <v>0.99751476972164288</v>
      </c>
      <c r="K143" s="183"/>
      <c r="L143" s="137"/>
      <c r="M143" s="3"/>
      <c r="N143" s="134" t="s">
        <v>14</v>
      </c>
      <c r="O143" s="182">
        <f t="shared" ref="O143" si="436">+AVERAGE(O131:O142)</f>
        <v>0.96320946798306428</v>
      </c>
      <c r="P143" s="182">
        <f>+AVERAGE(P131:P142)</f>
        <v>1.2762435258927145</v>
      </c>
      <c r="Q143" s="182">
        <f t="shared" ref="Q143:V143" si="437">+AVERAGE(Q131:Q142)</f>
        <v>1.1982819105771745</v>
      </c>
      <c r="R143" s="182">
        <f t="shared" si="437"/>
        <v>0.64396752306176164</v>
      </c>
      <c r="S143" s="182">
        <f t="shared" si="437"/>
        <v>0.43927996909090949</v>
      </c>
      <c r="T143" s="182">
        <f t="shared" si="437"/>
        <v>0.57190781923156908</v>
      </c>
      <c r="U143" s="182">
        <f t="shared" si="437"/>
        <v>0.74779381491712071</v>
      </c>
      <c r="V143" s="182">
        <f t="shared" si="437"/>
        <v>0.93679857207248995</v>
      </c>
      <c r="W143" s="183">
        <f t="shared" ref="W143:X143" si="438">+AVERAGE(W131:W142)</f>
        <v>1.0075299970548819</v>
      </c>
      <c r="X143" s="184">
        <f t="shared" si="438"/>
        <v>0.97489301369352099</v>
      </c>
      <c r="Y143" s="149">
        <f>+X143/W143-1</f>
        <v>-3.2393063687197743E-2</v>
      </c>
      <c r="Z143" s="156">
        <f>+POWER(X143/S143,0.2)-1</f>
        <v>0.1728517267981764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439">+C143/C161</f>
        <v>0.40238889271218575</v>
      </c>
      <c r="D144" s="138">
        <f t="shared" si="439"/>
        <v>0.25319210844340095</v>
      </c>
      <c r="E144" s="138">
        <f t="shared" si="439"/>
        <v>0.21671883819098134</v>
      </c>
      <c r="F144" s="138">
        <f t="shared" si="439"/>
        <v>0.22202614975102267</v>
      </c>
      <c r="G144" s="138">
        <f t="shared" ref="G144:H144" si="440">+G143/G$161</f>
        <v>0.24171146026658805</v>
      </c>
      <c r="H144" s="138">
        <f t="shared" si="440"/>
        <v>0.27272780220679771</v>
      </c>
      <c r="I144" s="138">
        <f t="shared" ref="I144:J144" si="441">+I143/I$161</f>
        <v>0.29050725343278511</v>
      </c>
      <c r="J144" s="139">
        <f t="shared" si="441"/>
        <v>0.29024531569906536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442">+P143/P$161</f>
        <v>0.37407199049011092</v>
      </c>
      <c r="Q144" s="138">
        <f t="shared" ref="Q144" si="443">+Q143/Q$161</f>
        <v>0.34671968808554338</v>
      </c>
      <c r="R144" s="138">
        <f t="shared" ref="R144" si="444">+R143/R$161</f>
        <v>0.23541500932626155</v>
      </c>
      <c r="S144" s="138">
        <f t="shared" ref="S144:U144" si="445">+S143/S$161</f>
        <v>0.21000007075178767</v>
      </c>
      <c r="T144" s="222">
        <f t="shared" si="445"/>
        <v>0.23788678967932098</v>
      </c>
      <c r="U144" s="138">
        <f t="shared" si="445"/>
        <v>0.25693143397224727</v>
      </c>
      <c r="V144" s="138">
        <f t="shared" ref="V144" si="446">+V143/V$161</f>
        <v>0.28332033928612677</v>
      </c>
      <c r="W144" s="139">
        <f t="shared" ref="W144:X144" si="447">+W143/W$161</f>
        <v>0.29079355368969112</v>
      </c>
      <c r="X144" s="223">
        <f t="shared" si="447"/>
        <v>0.28852551029011447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448">+G143/F143-1</f>
        <v>0.4496572822772078</v>
      </c>
      <c r="H145" s="142">
        <f t="shared" ref="H145:J145" si="449">+H143/G143-1</f>
        <v>0.31663831017948207</v>
      </c>
      <c r="I145" s="142">
        <f t="shared" si="449"/>
        <v>0.18018189761300873</v>
      </c>
      <c r="J145" s="143">
        <f t="shared" si="449"/>
        <v>-4.7232907644643163E-3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450">+Q143/P143-1</f>
        <v>-6.1086786129635362E-2</v>
      </c>
      <c r="R145" s="142">
        <f t="shared" ref="R145" si="451">+R143/Q143-1</f>
        <v>-0.46259096680214185</v>
      </c>
      <c r="S145" s="142">
        <f t="shared" ref="S145" si="452">+S143/R143-1</f>
        <v>-0.31785384610338641</v>
      </c>
      <c r="T145" s="142">
        <f t="shared" ref="T145" si="453">+T143/S143-1</f>
        <v>0.30192100590230209</v>
      </c>
      <c r="U145" s="142">
        <f t="shared" ref="U145:X145" si="454">+U143/T143-1</f>
        <v>0.30754256153006754</v>
      </c>
      <c r="V145" s="142">
        <f t="shared" si="454"/>
        <v>0.25274982673708934</v>
      </c>
      <c r="W145" s="143">
        <f t="shared" si="454"/>
        <v>7.5503344145702478E-2</v>
      </c>
      <c r="X145" s="155">
        <f t="shared" si="454"/>
        <v>-3.2393063687197743E-2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50" t="s">
        <v>275</v>
      </c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2"/>
      <c r="M147" s="2"/>
      <c r="N147" s="350" t="s">
        <v>275</v>
      </c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2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455">+C148+1</f>
        <v>2018</v>
      </c>
      <c r="E148" s="129">
        <f t="shared" ref="E148" si="456">+D148+1</f>
        <v>2019</v>
      </c>
      <c r="F148" s="129">
        <f t="shared" ref="F148" si="457">+E148+1</f>
        <v>2020</v>
      </c>
      <c r="G148" s="129">
        <f t="shared" ref="G148" si="458">+F148+1</f>
        <v>2021</v>
      </c>
      <c r="H148" s="129">
        <f t="shared" ref="H148" si="459">+G148+1</f>
        <v>2022</v>
      </c>
      <c r="I148" s="129">
        <f t="shared" ref="I148:K148" si="460">+H148+1</f>
        <v>2023</v>
      </c>
      <c r="J148" s="130">
        <f t="shared" si="460"/>
        <v>2024</v>
      </c>
      <c r="K148" s="130">
        <f t="shared" si="460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461">+P148+1</f>
        <v>2018</v>
      </c>
      <c r="R148" s="129">
        <f t="shared" ref="R148" si="462">+Q148+1</f>
        <v>2019</v>
      </c>
      <c r="S148" s="129">
        <f t="shared" ref="S148" si="463">+R148+1</f>
        <v>2020</v>
      </c>
      <c r="T148" s="129">
        <f t="shared" ref="T148" si="464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465">+C96/C43</f>
        <v>3.1125771376722597</v>
      </c>
      <c r="D149" s="158">
        <f t="shared" si="465"/>
        <v>3.6173414000850692</v>
      </c>
      <c r="E149" s="158">
        <f t="shared" si="465"/>
        <v>2.3572389417877773</v>
      </c>
      <c r="F149" s="158">
        <f t="shared" si="465"/>
        <v>1.4549292363057544</v>
      </c>
      <c r="G149" s="158">
        <f t="shared" si="465"/>
        <v>2.5473986032596332</v>
      </c>
      <c r="H149" s="158">
        <f t="shared" si="465"/>
        <v>2.7729792659940125</v>
      </c>
      <c r="I149" s="158">
        <f t="shared" si="465"/>
        <v>2.9944879268157338</v>
      </c>
      <c r="J149" s="180">
        <f t="shared" ref="J149:K160" si="466">+J96/J43</f>
        <v>3.2007603558112909</v>
      </c>
      <c r="K149" s="180">
        <f t="shared" si="466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467">+P96/P43</f>
        <v>3.1978778835982387</v>
      </c>
      <c r="Q149" s="158">
        <f t="shared" si="467"/>
        <v>3.6724188222985159</v>
      </c>
      <c r="R149" s="158">
        <f t="shared" si="467"/>
        <v>2.8891276959717902</v>
      </c>
      <c r="S149" s="158">
        <f t="shared" si="467"/>
        <v>2.4285113630218595</v>
      </c>
      <c r="T149" s="158">
        <f t="shared" si="467"/>
        <v>2.1012476390483461</v>
      </c>
      <c r="U149" s="158">
        <f t="shared" si="467"/>
        <v>2.6826882586396787</v>
      </c>
      <c r="V149" s="158">
        <f t="shared" si="467"/>
        <v>3.1284827706091605</v>
      </c>
      <c r="W149" s="180">
        <f t="shared" si="467"/>
        <v>3.4768034834807708</v>
      </c>
      <c r="X149" s="180">
        <f t="shared" si="467"/>
        <v>3.4399937317968554</v>
      </c>
      <c r="Y149" s="147">
        <f>+X149/W149-1</f>
        <v>-1.0587239646649094E-2</v>
      </c>
      <c r="Z149" s="127">
        <f>+POWER(X149/S149,0.2)-1</f>
        <v>7.2120258166212148E-2</v>
      </c>
    </row>
    <row r="150" spans="1:26" x14ac:dyDescent="0.25">
      <c r="A150" s="133" t="s">
        <v>11</v>
      </c>
      <c r="B150" s="158">
        <f t="shared" ref="B150:H150" si="468">+B97/B44</f>
        <v>2.9402413453871841</v>
      </c>
      <c r="C150" s="158">
        <f t="shared" si="468"/>
        <v>3.5118883103883589</v>
      </c>
      <c r="D150" s="158">
        <f t="shared" si="468"/>
        <v>3.7017090913980666</v>
      </c>
      <c r="E150" s="158">
        <f t="shared" si="468"/>
        <v>2.8696607838982007</v>
      </c>
      <c r="F150" s="158">
        <f t="shared" si="468"/>
        <v>1.3850255317515165</v>
      </c>
      <c r="G150" s="158">
        <f t="shared" si="468"/>
        <v>2.4889148054367354</v>
      </c>
      <c r="H150" s="158">
        <f t="shared" si="468"/>
        <v>2.975189000889416</v>
      </c>
      <c r="I150" s="158">
        <f t="shared" si="465"/>
        <v>3.299112394396321</v>
      </c>
      <c r="J150" s="180">
        <f t="shared" si="466"/>
        <v>3.4392852016649926</v>
      </c>
      <c r="K150" s="180">
        <f t="shared" si="466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469">+O97/O44</f>
        <v>3.0955860052538546</v>
      </c>
      <c r="P150" s="158">
        <f t="shared" si="469"/>
        <v>3.2344693515016072</v>
      </c>
      <c r="Q150" s="158">
        <f t="shared" si="469"/>
        <v>3.6841379810656893</v>
      </c>
      <c r="R150" s="158">
        <f t="shared" si="469"/>
        <v>2.8463208511397227</v>
      </c>
      <c r="S150" s="158">
        <f t="shared" si="469"/>
        <v>2.2789247316122321</v>
      </c>
      <c r="T150" s="158">
        <f t="shared" si="469"/>
        <v>2.2120814867188736</v>
      </c>
      <c r="U150" s="158">
        <f t="shared" si="469"/>
        <v>2.7171320539196757</v>
      </c>
      <c r="V150" s="158">
        <f t="shared" si="467"/>
        <v>3.1511034277842298</v>
      </c>
      <c r="W150" s="180">
        <f t="shared" si="467"/>
        <v>3.4878232513982628</v>
      </c>
      <c r="X150" s="180">
        <f t="shared" si="467"/>
        <v>3.4441630331026083</v>
      </c>
      <c r="Y150" s="147">
        <f>+X150/W150-1</f>
        <v>-1.2517898743335421E-2</v>
      </c>
      <c r="Z150" s="127">
        <f>+POWER(X150/S150,0.2)-1</f>
        <v>8.6102326307736954E-2</v>
      </c>
    </row>
    <row r="151" spans="1:26" x14ac:dyDescent="0.25">
      <c r="A151" s="133" t="s">
        <v>0</v>
      </c>
      <c r="B151" s="158">
        <f t="shared" ref="B151:H151" si="470">+B98/B45</f>
        <v>3.1364050092730973</v>
      </c>
      <c r="C151" s="158">
        <f t="shared" si="470"/>
        <v>3.7380268989255829</v>
      </c>
      <c r="D151" s="158">
        <f t="shared" si="470"/>
        <v>3.738832300338423</v>
      </c>
      <c r="E151" s="158">
        <f t="shared" si="470"/>
        <v>2.8420716543825013</v>
      </c>
      <c r="F151" s="158">
        <f t="shared" si="470"/>
        <v>1.9732136855548832</v>
      </c>
      <c r="G151" s="158">
        <f t="shared" si="470"/>
        <v>2.4640022887684543</v>
      </c>
      <c r="H151" s="158">
        <f t="shared" si="470"/>
        <v>2.8852960230055777</v>
      </c>
      <c r="I151" s="158">
        <f t="shared" si="465"/>
        <v>3.4512185248158045</v>
      </c>
      <c r="J151" s="180">
        <f t="shared" si="466"/>
        <v>3.4705600136700907</v>
      </c>
      <c r="K151" s="180">
        <f t="shared" si="466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471">+O98/O45</f>
        <v>3.14483703242955</v>
      </c>
      <c r="P151" s="158">
        <f t="shared" si="471"/>
        <v>3.27973740369191</v>
      </c>
      <c r="Q151" s="158">
        <f t="shared" si="471"/>
        <v>3.6841716053510645</v>
      </c>
      <c r="R151" s="158">
        <f t="shared" si="471"/>
        <v>2.7915163400902805</v>
      </c>
      <c r="S151" s="158">
        <f t="shared" si="471"/>
        <v>2.2185472078144777</v>
      </c>
      <c r="T151" s="158">
        <f t="shared" si="471"/>
        <v>2.2533851683986263</v>
      </c>
      <c r="U151" s="158">
        <f t="shared" si="471"/>
        <v>2.7545763993478181</v>
      </c>
      <c r="V151" s="158">
        <f t="shared" si="467"/>
        <v>3.1998007591599076</v>
      </c>
      <c r="W151" s="180">
        <f t="shared" si="467"/>
        <v>3.4900042624403422</v>
      </c>
      <c r="X151" s="180">
        <f t="shared" si="467"/>
        <v>3.4505287341080702</v>
      </c>
      <c r="Y151" s="147">
        <f>+X151/W151-1</f>
        <v>-1.1311025822263399E-2</v>
      </c>
      <c r="Z151" s="127">
        <f>+POWER(X151/S151,0.2)-1</f>
        <v>9.2353978530459901E-2</v>
      </c>
    </row>
    <row r="152" spans="1:26" x14ac:dyDescent="0.25">
      <c r="A152" s="133" t="s">
        <v>1</v>
      </c>
      <c r="B152" s="158">
        <f t="shared" ref="B152:H152" si="472">+B99/B46</f>
        <v>3.2274408308549187</v>
      </c>
      <c r="C152" s="158">
        <f t="shared" si="472"/>
        <v>3.6059269248791415</v>
      </c>
      <c r="D152" s="158">
        <f t="shared" si="472"/>
        <v>3.4112512018180232</v>
      </c>
      <c r="E152" s="158">
        <f t="shared" si="472"/>
        <v>3.0222874576511698</v>
      </c>
      <c r="F152" s="158">
        <f t="shared" si="472"/>
        <v>2.1970097909499868</v>
      </c>
      <c r="G152" s="158">
        <f t="shared" si="472"/>
        <v>2.322507672853666</v>
      </c>
      <c r="H152" s="158">
        <f t="shared" si="472"/>
        <v>2.8658747776255926</v>
      </c>
      <c r="I152" s="158">
        <f t="shared" si="465"/>
        <v>3.4192504213370425</v>
      </c>
      <c r="J152" s="180">
        <f t="shared" si="466"/>
        <v>3.2911643421179755</v>
      </c>
      <c r="K152" s="180"/>
      <c r="L152" s="127"/>
      <c r="M152" s="2"/>
      <c r="N152" s="133" t="s">
        <v>1</v>
      </c>
      <c r="O152" s="158">
        <f t="shared" ref="O152:U152" si="473">+O99/O46</f>
        <v>3.1620212089744695</v>
      </c>
      <c r="P152" s="158">
        <f t="shared" si="473"/>
        <v>3.3078287764241656</v>
      </c>
      <c r="Q152" s="158">
        <f t="shared" si="473"/>
        <v>3.6677779008296962</v>
      </c>
      <c r="R152" s="158">
        <f t="shared" si="473"/>
        <v>2.7710471875414604</v>
      </c>
      <c r="S152" s="158">
        <f t="shared" si="473"/>
        <v>2.1672105796172638</v>
      </c>
      <c r="T152" s="158">
        <f t="shared" si="473"/>
        <v>2.2641352602876132</v>
      </c>
      <c r="U152" s="158">
        <f t="shared" si="473"/>
        <v>2.8066328771516411</v>
      </c>
      <c r="V152" s="158">
        <f t="shared" si="467"/>
        <v>3.2484383183817296</v>
      </c>
      <c r="W152" s="180">
        <f t="shared" si="467"/>
        <v>3.4753915796731514</v>
      </c>
      <c r="X152" s="158">
        <f t="shared" si="467"/>
        <v>3.1808336343025028</v>
      </c>
      <c r="Y152" s="78">
        <f>+X152/W152-1</f>
        <v>-8.4755325728892661E-2</v>
      </c>
      <c r="Z152" s="127">
        <f>+POWER(X152/S152,0.2)-1</f>
        <v>7.9761824152150052E-2</v>
      </c>
    </row>
    <row r="153" spans="1:26" x14ac:dyDescent="0.25">
      <c r="A153" s="133" t="s">
        <v>2</v>
      </c>
      <c r="B153" s="158">
        <f t="shared" ref="B153:H153" si="474">+B100/B47</f>
        <v>3.0810346934467931</v>
      </c>
      <c r="C153" s="158">
        <f t="shared" si="474"/>
        <v>3.8224073108787024</v>
      </c>
      <c r="D153" s="158">
        <f t="shared" si="474"/>
        <v>3.5679411705611699</v>
      </c>
      <c r="E153" s="158">
        <f t="shared" si="474"/>
        <v>3.1261302564886275</v>
      </c>
      <c r="F153" s="158">
        <f t="shared" si="474"/>
        <v>1.9126207877265107</v>
      </c>
      <c r="G153" s="158">
        <f t="shared" si="474"/>
        <v>2.4524419110187914</v>
      </c>
      <c r="H153" s="158">
        <f t="shared" si="474"/>
        <v>3.3147815805586638</v>
      </c>
      <c r="I153" s="158">
        <f t="shared" si="465"/>
        <v>3.4772753423081344</v>
      </c>
      <c r="J153" s="180">
        <f t="shared" si="466"/>
        <v>3.5088157244957214</v>
      </c>
      <c r="K153" s="180"/>
      <c r="L153" s="127"/>
      <c r="M153" s="2"/>
      <c r="N153" s="133" t="s">
        <v>2</v>
      </c>
      <c r="O153" s="158">
        <f t="shared" ref="O153:U153" si="475">+O100/O47</f>
        <v>3.1641742430914412</v>
      </c>
      <c r="P153" s="158">
        <f t="shared" si="475"/>
        <v>3.3686255334272386</v>
      </c>
      <c r="Q153" s="158">
        <f t="shared" si="475"/>
        <v>3.6463701336393242</v>
      </c>
      <c r="R153" s="158">
        <f t="shared" si="475"/>
        <v>2.7463456532507089</v>
      </c>
      <c r="S153" s="158">
        <f t="shared" si="475"/>
        <v>2.0849428479335499</v>
      </c>
      <c r="T153" s="158">
        <f t="shared" si="475"/>
        <v>2.3119347826510022</v>
      </c>
      <c r="U153" s="158">
        <f t="shared" si="475"/>
        <v>2.8813652814452313</v>
      </c>
      <c r="V153" s="158">
        <f t="shared" si="467"/>
        <v>3.2586526838345149</v>
      </c>
      <c r="W153" s="180">
        <f t="shared" si="467"/>
        <v>3.4783629962142246</v>
      </c>
      <c r="X153" s="158"/>
      <c r="Y153" s="78"/>
      <c r="Z153" s="127"/>
    </row>
    <row r="154" spans="1:26" x14ac:dyDescent="0.25">
      <c r="A154" s="133" t="s">
        <v>3</v>
      </c>
      <c r="B154" s="158">
        <f t="shared" ref="B154:H154" si="476">+B101/B48</f>
        <v>3.1294469460095278</v>
      </c>
      <c r="C154" s="158">
        <f t="shared" si="476"/>
        <v>3.4529128403649962</v>
      </c>
      <c r="D154" s="158">
        <f t="shared" si="476"/>
        <v>3.6357018643587979</v>
      </c>
      <c r="E154" s="158">
        <f t="shared" si="476"/>
        <v>2.7757799637128557</v>
      </c>
      <c r="F154" s="158">
        <f t="shared" si="476"/>
        <v>2.0163172943554022</v>
      </c>
      <c r="G154" s="158">
        <f t="shared" si="476"/>
        <v>2.7082832373599945</v>
      </c>
      <c r="H154" s="158">
        <f t="shared" si="476"/>
        <v>3.1624675528835278</v>
      </c>
      <c r="I154" s="158">
        <f t="shared" si="465"/>
        <v>3.9450040448730341</v>
      </c>
      <c r="J154" s="180">
        <f t="shared" si="466"/>
        <v>3.8507210862491461</v>
      </c>
      <c r="K154" s="180"/>
      <c r="L154" s="127"/>
      <c r="M154" s="2"/>
      <c r="N154" s="133" t="s">
        <v>3</v>
      </c>
      <c r="O154" s="158">
        <f t="shared" ref="O154:U154" si="477">+O101/O48</f>
        <v>3.1682733149136211</v>
      </c>
      <c r="P154" s="158">
        <f t="shared" si="477"/>
        <v>3.3952831125098264</v>
      </c>
      <c r="Q154" s="158">
        <f t="shared" si="477"/>
        <v>3.6636737330837077</v>
      </c>
      <c r="R154" s="158">
        <f t="shared" si="477"/>
        <v>2.6983789172159955</v>
      </c>
      <c r="S154" s="158">
        <f t="shared" si="477"/>
        <v>2.040940045071657</v>
      </c>
      <c r="T154" s="158">
        <f t="shared" si="477"/>
        <v>2.3705086714336945</v>
      </c>
      <c r="U154" s="158">
        <f t="shared" si="477"/>
        <v>2.9236621321898077</v>
      </c>
      <c r="V154" s="158">
        <f t="shared" si="467"/>
        <v>3.3127746759818977</v>
      </c>
      <c r="W154" s="180">
        <f t="shared" si="467"/>
        <v>3.4686904331536748</v>
      </c>
      <c r="X154" s="158"/>
      <c r="Y154" s="78"/>
      <c r="Z154" s="127"/>
    </row>
    <row r="155" spans="1:26" x14ac:dyDescent="0.25">
      <c r="A155" s="133" t="s">
        <v>4</v>
      </c>
      <c r="B155" s="158">
        <f t="shared" ref="B155:H155" si="478">+B102/B49</f>
        <v>3.1720201584588068</v>
      </c>
      <c r="C155" s="158">
        <f t="shared" si="478"/>
        <v>3.645858802768239</v>
      </c>
      <c r="D155" s="158">
        <f t="shared" si="478"/>
        <v>3.2487965343512082</v>
      </c>
      <c r="E155" s="158">
        <f t="shared" si="478"/>
        <v>2.7747462621412198</v>
      </c>
      <c r="F155" s="158">
        <f t="shared" si="478"/>
        <v>2.2884577270428008</v>
      </c>
      <c r="G155" s="158">
        <f t="shared" si="478"/>
        <v>2.9591638111817482</v>
      </c>
      <c r="H155" s="158">
        <f t="shared" si="478"/>
        <v>3.2916135761251164</v>
      </c>
      <c r="I155" s="158">
        <f t="shared" si="465"/>
        <v>3.5487778420595895</v>
      </c>
      <c r="J155" s="180">
        <f t="shared" si="466"/>
        <v>3.4614322318017838</v>
      </c>
      <c r="K155" s="180"/>
      <c r="L155" s="127"/>
      <c r="M155" s="2"/>
      <c r="N155" s="133" t="s">
        <v>4</v>
      </c>
      <c r="O155" s="158">
        <f t="shared" ref="O155:U155" si="479">+O102/O49</f>
        <v>3.1477056510749786</v>
      </c>
      <c r="P155" s="158">
        <f t="shared" si="479"/>
        <v>3.432847313042485</v>
      </c>
      <c r="Q155" s="158">
        <f t="shared" si="479"/>
        <v>3.6207802063819878</v>
      </c>
      <c r="R155" s="158">
        <f t="shared" si="479"/>
        <v>2.6618742478172761</v>
      </c>
      <c r="S155" s="158">
        <f t="shared" si="479"/>
        <v>2.0141565890210384</v>
      </c>
      <c r="T155" s="158">
        <f t="shared" si="479"/>
        <v>2.4234147181508554</v>
      </c>
      <c r="U155" s="158">
        <f t="shared" si="479"/>
        <v>2.9436505380421534</v>
      </c>
      <c r="V155" s="158">
        <f t="shared" si="467"/>
        <v>3.332233178122654</v>
      </c>
      <c r="W155" s="180">
        <f t="shared" si="467"/>
        <v>3.4612541185395642</v>
      </c>
      <c r="X155" s="158"/>
      <c r="Y155" s="78"/>
      <c r="Z155" s="127"/>
    </row>
    <row r="156" spans="1:26" x14ac:dyDescent="0.25">
      <c r="A156" s="133" t="s">
        <v>5</v>
      </c>
      <c r="B156" s="158">
        <f t="shared" ref="B156:H156" si="480">+B103/B50</f>
        <v>3.1587602011863463</v>
      </c>
      <c r="C156" s="158">
        <f t="shared" si="480"/>
        <v>3.5549268430288277</v>
      </c>
      <c r="D156" s="158">
        <f t="shared" si="480"/>
        <v>2.5038633015483724</v>
      </c>
      <c r="E156" s="158">
        <f t="shared" si="480"/>
        <v>2.7678256657957427</v>
      </c>
      <c r="F156" s="158">
        <f t="shared" si="480"/>
        <v>2.1716076529959611</v>
      </c>
      <c r="G156" s="158">
        <f t="shared" si="480"/>
        <v>2.8002734883585609</v>
      </c>
      <c r="H156" s="158">
        <f t="shared" si="480"/>
        <v>3.450606264801964</v>
      </c>
      <c r="I156" s="158">
        <f t="shared" si="465"/>
        <v>3.7821310875137311</v>
      </c>
      <c r="J156" s="180">
        <f t="shared" si="466"/>
        <v>3.5122831990293815</v>
      </c>
      <c r="K156" s="180"/>
      <c r="L156" s="127"/>
      <c r="M156" s="2"/>
      <c r="N156" s="133" t="s">
        <v>5</v>
      </c>
      <c r="O156" s="158">
        <f t="shared" ref="O156:U156" si="481">+O103/O50</f>
        <v>3.1400859862461954</v>
      </c>
      <c r="P156" s="158">
        <f t="shared" si="481"/>
        <v>3.4788213764705431</v>
      </c>
      <c r="Q156" s="158">
        <f t="shared" si="481"/>
        <v>3.457609168048541</v>
      </c>
      <c r="R156" s="158">
        <f t="shared" si="481"/>
        <v>2.6912203040081826</v>
      </c>
      <c r="S156" s="158">
        <f t="shared" si="481"/>
        <v>1.9691064477936575</v>
      </c>
      <c r="T156" s="158">
        <f t="shared" si="481"/>
        <v>2.4766372227491407</v>
      </c>
      <c r="U156" s="158">
        <f t="shared" si="481"/>
        <v>3.0012256849859411</v>
      </c>
      <c r="V156" s="158">
        <f t="shared" si="467"/>
        <v>3.3527896422097268</v>
      </c>
      <c r="W156" s="180">
        <f t="shared" si="467"/>
        <v>3.4409388416543587</v>
      </c>
      <c r="X156" s="158"/>
      <c r="Y156" s="78"/>
      <c r="Z156" s="127"/>
    </row>
    <row r="157" spans="1:26" x14ac:dyDescent="0.25">
      <c r="A157" s="133" t="s">
        <v>6</v>
      </c>
      <c r="B157" s="158">
        <f t="shared" ref="B157:H157" si="482">+B104/B51</f>
        <v>3.4412963727243553</v>
      </c>
      <c r="C157" s="158">
        <f t="shared" si="482"/>
        <v>3.6752573917634637</v>
      </c>
      <c r="D157" s="158">
        <f t="shared" si="482"/>
        <v>1.996777051619655</v>
      </c>
      <c r="E157" s="158">
        <f t="shared" si="482"/>
        <v>2.4488325399138575</v>
      </c>
      <c r="F157" s="158">
        <f t="shared" si="482"/>
        <v>2.3117440191764835</v>
      </c>
      <c r="G157" s="158">
        <f t="shared" si="482"/>
        <v>3.1096090272775965</v>
      </c>
      <c r="H157" s="158">
        <f t="shared" si="482"/>
        <v>3.1141356455041893</v>
      </c>
      <c r="I157" s="158">
        <f t="shared" si="465"/>
        <v>3.5083963708156789</v>
      </c>
      <c r="J157" s="180">
        <f t="shared" si="466"/>
        <v>3.7089552238805967</v>
      </c>
      <c r="K157" s="180"/>
      <c r="L157" s="127"/>
      <c r="M157" s="2"/>
      <c r="N157" s="133" t="s">
        <v>6</v>
      </c>
      <c r="O157" s="158">
        <f t="shared" ref="O157:U157" si="483">+O104/O51</f>
        <v>3.1403451047047217</v>
      </c>
      <c r="P157" s="158">
        <f t="shared" si="483"/>
        <v>3.4977345095989838</v>
      </c>
      <c r="Q157" s="158">
        <f t="shared" si="483"/>
        <v>3.2534842737452299</v>
      </c>
      <c r="R157" s="158">
        <f t="shared" si="483"/>
        <v>2.7469939195882782</v>
      </c>
      <c r="S157" s="158">
        <f t="shared" si="483"/>
        <v>1.9666382835745895</v>
      </c>
      <c r="T157" s="158">
        <f t="shared" si="483"/>
        <v>2.5413853600917169</v>
      </c>
      <c r="U157" s="158">
        <f t="shared" si="483"/>
        <v>3.0004441999363656</v>
      </c>
      <c r="V157" s="158">
        <f t="shared" si="467"/>
        <v>3.3940943894472535</v>
      </c>
      <c r="W157" s="180">
        <f t="shared" si="467"/>
        <v>3.4574017891492042</v>
      </c>
      <c r="X157" s="158"/>
      <c r="Y157" s="78"/>
      <c r="Z157" s="127"/>
    </row>
    <row r="158" spans="1:26" x14ac:dyDescent="0.25">
      <c r="A158" s="133" t="s">
        <v>7</v>
      </c>
      <c r="B158" s="158">
        <f t="shared" ref="B158:H158" si="484">+B105/B52</f>
        <v>3.2568966715308179</v>
      </c>
      <c r="C158" s="158">
        <f t="shared" si="484"/>
        <v>3.8491833719351489</v>
      </c>
      <c r="D158" s="158">
        <f t="shared" si="484"/>
        <v>2.3621957748711613</v>
      </c>
      <c r="E158" s="158">
        <f t="shared" si="484"/>
        <v>2.2581025714604559</v>
      </c>
      <c r="F158" s="158">
        <f t="shared" si="484"/>
        <v>2.3180826105279051</v>
      </c>
      <c r="G158" s="158">
        <f t="shared" si="484"/>
        <v>2.8225149792594864</v>
      </c>
      <c r="H158" s="158">
        <f t="shared" si="484"/>
        <v>3.269360784449193</v>
      </c>
      <c r="I158" s="158">
        <f t="shared" si="465"/>
        <v>3.4064259503067311</v>
      </c>
      <c r="J158" s="180">
        <f t="shared" si="466"/>
        <v>3.4040810056581075</v>
      </c>
      <c r="K158" s="180"/>
      <c r="L158" s="127"/>
      <c r="M158" s="2"/>
      <c r="N158" s="133" t="s">
        <v>7</v>
      </c>
      <c r="O158" s="158">
        <f t="shared" ref="O158:U158" si="485">+O105/O52</f>
        <v>3.1326804244552267</v>
      </c>
      <c r="P158" s="158">
        <f t="shared" si="485"/>
        <v>3.5526671266854075</v>
      </c>
      <c r="Q158" s="158">
        <f t="shared" si="485"/>
        <v>3.0957684415000362</v>
      </c>
      <c r="R158" s="158">
        <f t="shared" si="485"/>
        <v>2.7385954943398541</v>
      </c>
      <c r="S158" s="158">
        <f t="shared" si="485"/>
        <v>1.9717169204766889</v>
      </c>
      <c r="T158" s="158">
        <f t="shared" si="485"/>
        <v>2.5838405702801648</v>
      </c>
      <c r="U158" s="158">
        <f t="shared" si="485"/>
        <v>3.0360613830619325</v>
      </c>
      <c r="V158" s="158">
        <f t="shared" si="467"/>
        <v>3.4075555037345429</v>
      </c>
      <c r="W158" s="180">
        <f t="shared" si="467"/>
        <v>3.4567669263726337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486">+B106/B53</f>
        <v>3.5157720765290486</v>
      </c>
      <c r="C159" s="158">
        <f t="shared" si="486"/>
        <v>3.727424364431152</v>
      </c>
      <c r="D159" s="158">
        <f t="shared" si="486"/>
        <v>2.9700929642475176</v>
      </c>
      <c r="E159" s="158">
        <f t="shared" si="486"/>
        <v>2.3571323885863746</v>
      </c>
      <c r="F159" s="158">
        <f t="shared" si="486"/>
        <v>2.1063404923912841</v>
      </c>
      <c r="G159" s="158">
        <f t="shared" si="486"/>
        <v>2.7382308177217745</v>
      </c>
      <c r="H159" s="158">
        <f t="shared" si="486"/>
        <v>2.9944879268157338</v>
      </c>
      <c r="I159" s="158">
        <f t="shared" si="465"/>
        <v>3.3520888124620671</v>
      </c>
      <c r="J159" s="180">
        <f t="shared" si="466"/>
        <v>3.2449889783154764</v>
      </c>
      <c r="K159" s="180"/>
      <c r="L159" s="127"/>
      <c r="M159" s="2"/>
      <c r="N159" s="133" t="s">
        <v>8</v>
      </c>
      <c r="O159" s="158">
        <f t="shared" ref="O159:U159" si="487">+O106/O53</f>
        <v>3.1625101554205433</v>
      </c>
      <c r="P159" s="158">
        <f t="shared" si="487"/>
        <v>3.5689333286013536</v>
      </c>
      <c r="Q159" s="158">
        <f t="shared" si="487"/>
        <v>3.0444047131522787</v>
      </c>
      <c r="R159" s="158">
        <f t="shared" si="487"/>
        <v>2.6864885256969786</v>
      </c>
      <c r="S159" s="158">
        <f t="shared" si="487"/>
        <v>1.9570419432141577</v>
      </c>
      <c r="T159" s="158">
        <f t="shared" si="487"/>
        <v>2.6423673751111361</v>
      </c>
      <c r="U159" s="158">
        <f t="shared" si="487"/>
        <v>3.0644758759796131</v>
      </c>
      <c r="V159" s="158">
        <f t="shared" si="467"/>
        <v>3.4420737758865054</v>
      </c>
      <c r="W159" s="180">
        <f t="shared" si="467"/>
        <v>3.446888575196259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488">+B107/B54</f>
        <v>3.2310846794863073</v>
      </c>
      <c r="C160" s="158">
        <f t="shared" si="488"/>
        <v>3.8826961263831206</v>
      </c>
      <c r="D160" s="158">
        <f t="shared" si="488"/>
        <v>2.9151234777260742</v>
      </c>
      <c r="E160" s="158">
        <f t="shared" si="488"/>
        <v>1.7362241166676111</v>
      </c>
      <c r="F160" s="158">
        <f t="shared" si="488"/>
        <v>2.3530379930949481</v>
      </c>
      <c r="G160" s="158">
        <f t="shared" si="488"/>
        <v>2.6892850002306945</v>
      </c>
      <c r="H160" s="158">
        <f t="shared" si="488"/>
        <v>3.2528069807156599</v>
      </c>
      <c r="I160" s="158">
        <f t="shared" si="465"/>
        <v>3.3375335168674192</v>
      </c>
      <c r="J160" s="180">
        <f t="shared" si="466"/>
        <v>3.2203711041813827</v>
      </c>
      <c r="K160" s="180"/>
      <c r="L160" s="127"/>
      <c r="M160" s="2"/>
      <c r="N160" s="133" t="s">
        <v>9</v>
      </c>
      <c r="O160" s="158">
        <f t="shared" ref="O160:U160" si="489">+O107/O54</f>
        <v>3.1825352876209614</v>
      </c>
      <c r="P160" s="158">
        <f t="shared" si="489"/>
        <v>3.626283750160685</v>
      </c>
      <c r="Q160" s="158">
        <f t="shared" si="489"/>
        <v>2.9820491412430323</v>
      </c>
      <c r="R160" s="158">
        <f t="shared" si="489"/>
        <v>2.5575691489293586</v>
      </c>
      <c r="S160" s="158">
        <f t="shared" si="489"/>
        <v>2.0039671032320596</v>
      </c>
      <c r="T160" s="158">
        <f t="shared" si="489"/>
        <v>2.6684730134818855</v>
      </c>
      <c r="U160" s="158">
        <f t="shared" si="489"/>
        <v>3.113846014455139</v>
      </c>
      <c r="V160" s="158">
        <f t="shared" si="467"/>
        <v>3.4499953781544099</v>
      </c>
      <c r="W160" s="180">
        <f t="shared" si="467"/>
        <v>3.4367988586451284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490">+B108/B55</f>
        <v>3.1825352876209623</v>
      </c>
      <c r="C161" s="182">
        <f t="shared" si="490"/>
        <v>3.626283750160685</v>
      </c>
      <c r="D161" s="182">
        <f t="shared" si="490"/>
        <v>2.9820491412430323</v>
      </c>
      <c r="E161" s="182">
        <f t="shared" si="490"/>
        <v>2.5575691489293586</v>
      </c>
      <c r="F161" s="182">
        <f t="shared" si="490"/>
        <v>2.0039671032320596</v>
      </c>
      <c r="G161" s="182">
        <f t="shared" si="490"/>
        <v>2.6684730134818855</v>
      </c>
      <c r="H161" s="182">
        <f t="shared" si="490"/>
        <v>3.113846014455139</v>
      </c>
      <c r="I161" s="182">
        <f t="shared" ref="I161:J161" si="491">+I108/I55</f>
        <v>3.4499953781544099</v>
      </c>
      <c r="J161" s="183">
        <f t="shared" si="491"/>
        <v>3.4367988586451284</v>
      </c>
      <c r="K161" s="183"/>
      <c r="L161" s="137"/>
      <c r="M161" s="3"/>
      <c r="N161" s="134" t="s">
        <v>14</v>
      </c>
      <c r="O161" s="182">
        <f t="shared" ref="O161" si="492">+AVERAGE(O149:O160)</f>
        <v>3.1449407003639309</v>
      </c>
      <c r="P161" s="182">
        <f>+AVERAGE(P149:P160)</f>
        <v>3.4117591221427035</v>
      </c>
      <c r="Q161" s="182">
        <f t="shared" ref="Q161:V161" si="493">+AVERAGE(Q149:Q160)</f>
        <v>3.4560538433615915</v>
      </c>
      <c r="R161" s="182">
        <f t="shared" si="493"/>
        <v>2.7354565237991575</v>
      </c>
      <c r="S161" s="182">
        <f t="shared" si="493"/>
        <v>2.0918086718652691</v>
      </c>
      <c r="T161" s="182">
        <f t="shared" si="493"/>
        <v>2.4041176057002542</v>
      </c>
      <c r="U161" s="182">
        <f t="shared" si="493"/>
        <v>2.910480058262916</v>
      </c>
      <c r="V161" s="182">
        <f t="shared" si="493"/>
        <v>3.3064995419422112</v>
      </c>
      <c r="W161" s="183">
        <f t="shared" ref="W161:X161" si="494">+AVERAGE(W149:W160)</f>
        <v>3.4647604263264644</v>
      </c>
      <c r="X161" s="183">
        <f t="shared" si="494"/>
        <v>3.378879783327509</v>
      </c>
      <c r="Y161" s="149">
        <f>+X161/W161-1</f>
        <v>-2.4786892145963191E-2</v>
      </c>
      <c r="Z161" s="156">
        <f>+POWER(X161/S161,0.2)-1</f>
        <v>0.10065232735937735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495">+D161/C161-1</f>
        <v>-0.17765697703305927</v>
      </c>
      <c r="E162" s="151">
        <f t="shared" ref="E162" si="496">+E161/D161-1</f>
        <v>-0.14234506951710868</v>
      </c>
      <c r="F162" s="200">
        <f t="shared" ref="F162" si="497">+F161/E161-1</f>
        <v>-0.21645633547348897</v>
      </c>
      <c r="G162" s="200">
        <f t="shared" ref="G162:J162" si="498">+G160/F160-1</f>
        <v>0.14289909815416157</v>
      </c>
      <c r="H162" s="151">
        <f t="shared" si="498"/>
        <v>0.20954342155503225</v>
      </c>
      <c r="I162" s="151">
        <f t="shared" si="498"/>
        <v>2.6047206813703427E-2</v>
      </c>
      <c r="J162" s="152">
        <f t="shared" si="498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499">+Q161/P161-1</f>
        <v>1.2982956777754406E-2</v>
      </c>
      <c r="R162" s="151">
        <f t="shared" ref="R162" si="500">+R161/Q161-1</f>
        <v>-0.20850292044684471</v>
      </c>
      <c r="S162" s="200">
        <f t="shared" ref="S162" si="501">+S161/R161-1</f>
        <v>-0.23529814725037324</v>
      </c>
      <c r="T162" s="200">
        <f t="shared" ref="T162" si="502">+T161/S161-1</f>
        <v>0.14930090788680905</v>
      </c>
      <c r="U162" s="200">
        <f t="shared" ref="U162:X162" si="503">+U161/T161-1</f>
        <v>0.21062299588092404</v>
      </c>
      <c r="V162" s="151">
        <f t="shared" si="503"/>
        <v>0.13606672292943123</v>
      </c>
      <c r="W162" s="152">
        <f t="shared" si="503"/>
        <v>4.7863573660527958E-2</v>
      </c>
      <c r="X162" s="152">
        <f t="shared" si="503"/>
        <v>-2.4786892145963191E-2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22" t="str">
        <f>+A5</f>
        <v>EXPORTACION FRACCIONADO - Millones de litros</v>
      </c>
      <c r="B166" s="323"/>
      <c r="C166" s="323"/>
      <c r="D166" s="323"/>
      <c r="E166" s="323"/>
      <c r="F166" s="323"/>
      <c r="G166" s="323"/>
      <c r="H166" s="323"/>
      <c r="I166" s="323"/>
      <c r="J166" s="323"/>
      <c r="K166" s="324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504">+C167+1</f>
        <v>2018</v>
      </c>
      <c r="E167" s="260">
        <f t="shared" si="504"/>
        <v>2019</v>
      </c>
      <c r="F167" s="260">
        <f t="shared" si="504"/>
        <v>2020</v>
      </c>
      <c r="G167" s="260">
        <f t="shared" si="504"/>
        <v>2021</v>
      </c>
      <c r="H167" s="260">
        <f t="shared" si="504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505">+SUM(C7:C9)</f>
        <v>42.017099999999999</v>
      </c>
      <c r="D168" s="6">
        <f t="shared" si="505"/>
        <v>41.215600000000002</v>
      </c>
      <c r="E168" s="6">
        <f t="shared" si="505"/>
        <v>42.709600000000002</v>
      </c>
      <c r="F168" s="6">
        <f t="shared" si="505"/>
        <v>41.441999999999993</v>
      </c>
      <c r="G168" s="6">
        <f t="shared" si="505"/>
        <v>49.521599999999999</v>
      </c>
      <c r="H168" s="6">
        <f t="shared" si="505"/>
        <v>45.385499999999993</v>
      </c>
      <c r="I168" s="6">
        <f t="shared" si="505"/>
        <v>38.888500000000001</v>
      </c>
      <c r="J168" s="67">
        <f t="shared" si="505"/>
        <v>31.729300000000002</v>
      </c>
      <c r="K168" s="265">
        <f t="shared" si="505"/>
        <v>30.968599999999999</v>
      </c>
    </row>
    <row r="169" spans="1:26" x14ac:dyDescent="0.25">
      <c r="A169" s="264" t="s">
        <v>300</v>
      </c>
      <c r="B169" s="193"/>
      <c r="C169" s="6"/>
      <c r="D169" s="6"/>
      <c r="E169" s="6"/>
      <c r="F169" s="6"/>
      <c r="G169" s="6"/>
      <c r="H169" s="6"/>
      <c r="I169" s="6"/>
      <c r="J169" s="67"/>
      <c r="K169" s="265"/>
    </row>
    <row r="170" spans="1:26" x14ac:dyDescent="0.25">
      <c r="A170" s="264" t="s">
        <v>301</v>
      </c>
      <c r="B170" s="193"/>
      <c r="C170" s="6"/>
      <c r="D170" s="6"/>
      <c r="E170" s="6"/>
      <c r="F170" s="6"/>
      <c r="G170" s="6"/>
      <c r="H170" s="6"/>
      <c r="I170" s="6"/>
      <c r="J170" s="67"/>
      <c r="K170" s="265"/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506">SUM(B168:B171)</f>
        <v>45.3399</v>
      </c>
      <c r="C172" s="54">
        <f t="shared" si="506"/>
        <v>42.017099999999999</v>
      </c>
      <c r="D172" s="54">
        <f t="shared" si="506"/>
        <v>41.215600000000002</v>
      </c>
      <c r="E172" s="54">
        <f t="shared" si="506"/>
        <v>42.709600000000002</v>
      </c>
      <c r="F172" s="54">
        <f t="shared" si="506"/>
        <v>41.441999999999993</v>
      </c>
      <c r="G172" s="54">
        <f t="shared" si="506"/>
        <v>49.521599999999999</v>
      </c>
      <c r="H172" s="54">
        <f t="shared" si="506"/>
        <v>45.385499999999993</v>
      </c>
      <c r="I172" s="54">
        <f t="shared" si="506"/>
        <v>38.888500000000001</v>
      </c>
      <c r="J172" s="186">
        <f t="shared" si="506"/>
        <v>31.729300000000002</v>
      </c>
      <c r="K172" s="267">
        <f t="shared" si="506"/>
        <v>30.968599999999999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507">+D168/C168-1</f>
        <v>-1.9075566852543302E-2</v>
      </c>
      <c r="E173" s="257">
        <f t="shared" si="507"/>
        <v>3.6248410795912234E-2</v>
      </c>
      <c r="F173" s="257">
        <f t="shared" si="507"/>
        <v>-2.9679509993069675E-2</v>
      </c>
      <c r="G173" s="257">
        <f t="shared" si="507"/>
        <v>0.1949616331258146</v>
      </c>
      <c r="H173" s="257">
        <f t="shared" si="507"/>
        <v>-8.3521130173500158E-2</v>
      </c>
      <c r="I173" s="257">
        <f t="shared" si="507"/>
        <v>-0.14315144704806593</v>
      </c>
      <c r="J173" s="258">
        <f t="shared" si="507"/>
        <v>-0.18409555524126664</v>
      </c>
      <c r="K173" s="269">
        <f t="shared" si="507"/>
        <v>-2.3974685858181632E-2</v>
      </c>
    </row>
    <row r="174" spans="1:26" x14ac:dyDescent="0.25">
      <c r="A174" s="268" t="s">
        <v>304</v>
      </c>
      <c r="B174" s="256"/>
      <c r="C174" s="257"/>
      <c r="D174" s="257"/>
      <c r="E174" s="257"/>
      <c r="F174" s="257"/>
      <c r="G174" s="257"/>
      <c r="H174" s="257"/>
      <c r="I174" s="257"/>
      <c r="J174" s="258"/>
      <c r="K174" s="269"/>
    </row>
    <row r="175" spans="1:26" x14ac:dyDescent="0.25">
      <c r="A175" s="268" t="s">
        <v>305</v>
      </c>
      <c r="B175" s="256"/>
      <c r="C175" s="257"/>
      <c r="D175" s="257"/>
      <c r="E175" s="257"/>
      <c r="F175" s="257"/>
      <c r="G175" s="257"/>
      <c r="H175" s="257"/>
      <c r="I175" s="257"/>
      <c r="J175" s="258"/>
      <c r="K175" s="269"/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22" t="str">
        <f>+A23</f>
        <v>EXPORTACION GRANEL - Millones de litros</v>
      </c>
      <c r="B181" s="323"/>
      <c r="C181" s="323"/>
      <c r="D181" s="323"/>
      <c r="E181" s="323"/>
      <c r="F181" s="323"/>
      <c r="G181" s="323"/>
      <c r="H181" s="323"/>
      <c r="I181" s="323"/>
      <c r="J181" s="323"/>
      <c r="K181" s="324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508">+C182+1</f>
        <v>2018</v>
      </c>
      <c r="E182" s="260">
        <f t="shared" ref="E182" si="509">+D182+1</f>
        <v>2019</v>
      </c>
      <c r="F182" s="260">
        <f t="shared" ref="F182" si="510">+E182+1</f>
        <v>2020</v>
      </c>
      <c r="G182" s="260">
        <f t="shared" ref="G182" si="511">+F182+1</f>
        <v>2021</v>
      </c>
      <c r="H182" s="260">
        <f t="shared" ref="H182" si="512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513">+SUM(C25:C27)</f>
        <v>9.5046999999999997</v>
      </c>
      <c r="D183" s="6">
        <f t="shared" si="513"/>
        <v>7.4640000000000004</v>
      </c>
      <c r="E183" s="6">
        <f t="shared" si="513"/>
        <v>26.357700000000001</v>
      </c>
      <c r="F183" s="6">
        <f t="shared" si="513"/>
        <v>73.334099999999992</v>
      </c>
      <c r="G183" s="6">
        <f t="shared" si="513"/>
        <v>30.086500000000001</v>
      </c>
      <c r="H183" s="6">
        <f t="shared" si="513"/>
        <v>19.555299999999999</v>
      </c>
      <c r="I183" s="6">
        <f t="shared" si="513"/>
        <v>13.521699999999999</v>
      </c>
      <c r="J183" s="67">
        <f t="shared" si="513"/>
        <v>11.0456</v>
      </c>
      <c r="K183" s="265">
        <f t="shared" si="513"/>
        <v>10.5191</v>
      </c>
    </row>
    <row r="184" spans="1:11" x14ac:dyDescent="0.25">
      <c r="A184" s="264" t="s">
        <v>300</v>
      </c>
      <c r="B184" s="193"/>
      <c r="C184" s="6"/>
      <c r="D184" s="6"/>
      <c r="E184" s="6"/>
      <c r="F184" s="6"/>
      <c r="G184" s="6"/>
      <c r="H184" s="6"/>
      <c r="I184" s="6"/>
      <c r="J184" s="67"/>
      <c r="K184" s="265"/>
    </row>
    <row r="185" spans="1:11" x14ac:dyDescent="0.25">
      <c r="A185" s="264" t="s">
        <v>301</v>
      </c>
      <c r="B185" s="193"/>
      <c r="C185" s="6"/>
      <c r="D185" s="6"/>
      <c r="E185" s="6"/>
      <c r="F185" s="6"/>
      <c r="G185" s="6"/>
      <c r="H185" s="6"/>
      <c r="I185" s="6"/>
      <c r="J185" s="67"/>
      <c r="K185" s="265"/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514">SUM(B183:B186)</f>
        <v>15.559486</v>
      </c>
      <c r="C187" s="54">
        <f t="shared" si="514"/>
        <v>9.5046999999999997</v>
      </c>
      <c r="D187" s="54">
        <f t="shared" si="514"/>
        <v>7.4640000000000004</v>
      </c>
      <c r="E187" s="54">
        <f t="shared" si="514"/>
        <v>26.357700000000001</v>
      </c>
      <c r="F187" s="54">
        <f t="shared" si="514"/>
        <v>73.334099999999992</v>
      </c>
      <c r="G187" s="54">
        <f t="shared" si="514"/>
        <v>30.086500000000001</v>
      </c>
      <c r="H187" s="54">
        <f t="shared" si="514"/>
        <v>19.555299999999999</v>
      </c>
      <c r="I187" s="54">
        <f t="shared" si="514"/>
        <v>13.521699999999999</v>
      </c>
      <c r="J187" s="186">
        <f t="shared" si="514"/>
        <v>11.0456</v>
      </c>
      <c r="K187" s="267">
        <f t="shared" si="514"/>
        <v>10.5191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515">+D183/C183-1</f>
        <v>-0.21470430418634989</v>
      </c>
      <c r="E188" s="257">
        <f t="shared" si="515"/>
        <v>2.5313102893890673</v>
      </c>
      <c r="F188" s="257">
        <f t="shared" si="515"/>
        <v>1.7822647651350456</v>
      </c>
      <c r="G188" s="257">
        <f t="shared" si="515"/>
        <v>-0.58973383460082007</v>
      </c>
      <c r="H188" s="257">
        <f t="shared" si="515"/>
        <v>-0.35003074468615503</v>
      </c>
      <c r="I188" s="257">
        <f t="shared" si="515"/>
        <v>-0.3085403956983529</v>
      </c>
      <c r="J188" s="258">
        <f t="shared" si="515"/>
        <v>-0.18312046562192619</v>
      </c>
      <c r="K188" s="269">
        <f t="shared" si="515"/>
        <v>-4.7666038965742064E-2</v>
      </c>
    </row>
    <row r="189" spans="1:11" x14ac:dyDescent="0.25">
      <c r="A189" s="268" t="s">
        <v>304</v>
      </c>
      <c r="B189" s="256"/>
      <c r="C189" s="257"/>
      <c r="D189" s="257"/>
      <c r="E189" s="257"/>
      <c r="F189" s="257"/>
      <c r="G189" s="257"/>
      <c r="H189" s="257"/>
      <c r="I189" s="257"/>
      <c r="J189" s="258"/>
      <c r="K189" s="269"/>
    </row>
    <row r="190" spans="1:11" x14ac:dyDescent="0.25">
      <c r="A190" s="268" t="s">
        <v>305</v>
      </c>
      <c r="B190" s="256"/>
      <c r="C190" s="257"/>
      <c r="D190" s="257"/>
      <c r="E190" s="257"/>
      <c r="F190" s="257"/>
      <c r="G190" s="257"/>
      <c r="H190" s="257"/>
      <c r="I190" s="257"/>
      <c r="J190" s="258"/>
      <c r="K190" s="269"/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38" t="str">
        <f>+A41</f>
        <v>EXPORTACION DE VINO - Millones de litros</v>
      </c>
      <c r="B196" s="339"/>
      <c r="C196" s="339"/>
      <c r="D196" s="339"/>
      <c r="E196" s="339"/>
      <c r="F196" s="339"/>
      <c r="G196" s="339"/>
      <c r="H196" s="339"/>
      <c r="I196" s="339"/>
      <c r="J196" s="339"/>
      <c r="K196" s="340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516">+C197+1</f>
        <v>2018</v>
      </c>
      <c r="E197" s="260">
        <f t="shared" ref="E197" si="517">+D197+1</f>
        <v>2019</v>
      </c>
      <c r="F197" s="260">
        <f t="shared" ref="F197" si="518">+E197+1</f>
        <v>2020</v>
      </c>
      <c r="G197" s="260">
        <f t="shared" ref="G197" si="519">+F197+1</f>
        <v>2021</v>
      </c>
      <c r="H197" s="260">
        <f t="shared" ref="H197" si="520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521">+SUM(C43:C45)</f>
        <v>51.521799999999999</v>
      </c>
      <c r="D198" s="6">
        <f t="shared" si="521"/>
        <v>48.679600000000001</v>
      </c>
      <c r="E198" s="6">
        <f t="shared" si="521"/>
        <v>69.067300000000003</v>
      </c>
      <c r="F198" s="6">
        <f t="shared" si="521"/>
        <v>114.7761</v>
      </c>
      <c r="G198" s="6">
        <f t="shared" si="521"/>
        <v>79.608099999999993</v>
      </c>
      <c r="H198" s="6">
        <f t="shared" si="521"/>
        <v>64.940799999999996</v>
      </c>
      <c r="I198" s="6">
        <f t="shared" si="521"/>
        <v>52.410200000000003</v>
      </c>
      <c r="J198" s="67">
        <f t="shared" si="521"/>
        <v>42.774899999999995</v>
      </c>
      <c r="K198" s="265">
        <f t="shared" si="521"/>
        <v>41.487699999999997</v>
      </c>
    </row>
    <row r="199" spans="1:11" x14ac:dyDescent="0.25">
      <c r="A199" s="264" t="s">
        <v>300</v>
      </c>
      <c r="B199" s="193"/>
      <c r="C199" s="6"/>
      <c r="D199" s="6"/>
      <c r="E199" s="6"/>
      <c r="F199" s="6"/>
      <c r="G199" s="6"/>
      <c r="H199" s="6"/>
      <c r="I199" s="6"/>
      <c r="J199" s="67"/>
      <c r="K199" s="265"/>
    </row>
    <row r="200" spans="1:11" x14ac:dyDescent="0.25">
      <c r="A200" s="264" t="s">
        <v>301</v>
      </c>
      <c r="B200" s="193"/>
      <c r="C200" s="6"/>
      <c r="D200" s="6"/>
      <c r="E200" s="6"/>
      <c r="F200" s="6"/>
      <c r="G200" s="6"/>
      <c r="H200" s="6"/>
      <c r="I200" s="6"/>
      <c r="J200" s="67"/>
      <c r="K200" s="265"/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522">SUM(B198:B201)</f>
        <v>60.899385999999993</v>
      </c>
      <c r="C202" s="54">
        <f t="shared" si="522"/>
        <v>51.521799999999999</v>
      </c>
      <c r="D202" s="54">
        <f t="shared" si="522"/>
        <v>48.679600000000001</v>
      </c>
      <c r="E202" s="54">
        <f t="shared" si="522"/>
        <v>69.067300000000003</v>
      </c>
      <c r="F202" s="54">
        <f t="shared" si="522"/>
        <v>114.7761</v>
      </c>
      <c r="G202" s="54">
        <f t="shared" si="522"/>
        <v>79.608099999999993</v>
      </c>
      <c r="H202" s="54">
        <f t="shared" si="522"/>
        <v>64.940799999999996</v>
      </c>
      <c r="I202" s="54">
        <f t="shared" si="522"/>
        <v>52.410200000000003</v>
      </c>
      <c r="J202" s="186">
        <f t="shared" si="522"/>
        <v>42.774899999999995</v>
      </c>
      <c r="K202" s="267">
        <f t="shared" si="522"/>
        <v>41.487699999999997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523">+D198/C198-1</f>
        <v>-5.51649981173018E-2</v>
      </c>
      <c r="E203" s="257">
        <f t="shared" si="523"/>
        <v>0.41881404120000987</v>
      </c>
      <c r="F203" s="257">
        <f t="shared" si="523"/>
        <v>0.66180088116952596</v>
      </c>
      <c r="G203" s="257">
        <f t="shared" si="523"/>
        <v>-0.30640525335849544</v>
      </c>
      <c r="H203" s="257">
        <f t="shared" si="523"/>
        <v>-0.18424381438572202</v>
      </c>
      <c r="I203" s="257">
        <f t="shared" si="523"/>
        <v>-0.19295419828520732</v>
      </c>
      <c r="J203" s="258">
        <f t="shared" si="523"/>
        <v>-0.18384398456788964</v>
      </c>
      <c r="K203" s="269">
        <f t="shared" si="523"/>
        <v>-3.0092414009150192E-2</v>
      </c>
    </row>
    <row r="204" spans="1:11" x14ac:dyDescent="0.25">
      <c r="A204" s="268" t="s">
        <v>304</v>
      </c>
      <c r="B204" s="256"/>
      <c r="C204" s="257"/>
      <c r="D204" s="257"/>
      <c r="E204" s="257"/>
      <c r="F204" s="257"/>
      <c r="G204" s="257"/>
      <c r="H204" s="257"/>
      <c r="I204" s="257"/>
      <c r="J204" s="258"/>
      <c r="K204" s="269"/>
    </row>
    <row r="205" spans="1:11" x14ac:dyDescent="0.25">
      <c r="A205" s="268" t="s">
        <v>305</v>
      </c>
      <c r="B205" s="256"/>
      <c r="C205" s="257"/>
      <c r="D205" s="257"/>
      <c r="E205" s="257"/>
      <c r="F205" s="257"/>
      <c r="G205" s="257"/>
      <c r="H205" s="257"/>
      <c r="I205" s="257"/>
      <c r="J205" s="258"/>
      <c r="K205" s="269"/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22" t="str">
        <f>+A58</f>
        <v>EXPORTACION FRACCIONADO - Millones de dólares</v>
      </c>
      <c r="B211" s="323"/>
      <c r="C211" s="323"/>
      <c r="D211" s="323"/>
      <c r="E211" s="323"/>
      <c r="F211" s="323"/>
      <c r="G211" s="323"/>
      <c r="H211" s="323"/>
      <c r="I211" s="323"/>
      <c r="J211" s="323"/>
      <c r="K211" s="324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524">+C212+1</f>
        <v>2018</v>
      </c>
      <c r="E212" s="281">
        <f t="shared" ref="E212" si="525">+D212+1</f>
        <v>2019</v>
      </c>
      <c r="F212" s="281">
        <f t="shared" ref="F212" si="526">+E212+1</f>
        <v>2020</v>
      </c>
      <c r="G212" s="281">
        <f t="shared" ref="G212" si="527">+F212+1</f>
        <v>2021</v>
      </c>
      <c r="H212" s="281">
        <f t="shared" ref="H212" si="528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529">+SUM(C60:C62)</f>
        <v>163.58800000000002</v>
      </c>
      <c r="D213" s="6">
        <f t="shared" si="529"/>
        <v>167.55</v>
      </c>
      <c r="E213" s="6">
        <f t="shared" si="529"/>
        <v>166.321</v>
      </c>
      <c r="F213" s="6">
        <f t="shared" si="529"/>
        <v>154.59</v>
      </c>
      <c r="G213" s="6">
        <f t="shared" si="529"/>
        <v>179.523</v>
      </c>
      <c r="H213" s="6">
        <f t="shared" si="529"/>
        <v>170.887</v>
      </c>
      <c r="I213" s="6">
        <f t="shared" si="529"/>
        <v>156.642</v>
      </c>
      <c r="J213" s="67">
        <f t="shared" si="529"/>
        <v>133.01900000000001</v>
      </c>
      <c r="K213" s="265">
        <f t="shared" si="529"/>
        <v>132.30199999999999</v>
      </c>
    </row>
    <row r="214" spans="1:11" x14ac:dyDescent="0.25">
      <c r="A214" s="264" t="s">
        <v>300</v>
      </c>
      <c r="B214" s="193"/>
      <c r="C214" s="6"/>
      <c r="D214" s="6"/>
      <c r="E214" s="6"/>
      <c r="F214" s="6"/>
      <c r="G214" s="6"/>
      <c r="H214" s="6"/>
      <c r="I214" s="6"/>
      <c r="J214" s="67"/>
      <c r="K214" s="265"/>
    </row>
    <row r="215" spans="1:11" x14ac:dyDescent="0.25">
      <c r="A215" s="264" t="s">
        <v>301</v>
      </c>
      <c r="B215" s="193"/>
      <c r="C215" s="6"/>
      <c r="D215" s="6"/>
      <c r="E215" s="6"/>
      <c r="F215" s="6"/>
      <c r="G215" s="6"/>
      <c r="H215" s="6"/>
      <c r="I215" s="6"/>
      <c r="J215" s="67"/>
      <c r="K215" s="265"/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530">SUM(B213:B216)</f>
        <v>166.20802</v>
      </c>
      <c r="C217" s="286">
        <f t="shared" si="530"/>
        <v>163.58800000000002</v>
      </c>
      <c r="D217" s="286">
        <f t="shared" si="530"/>
        <v>167.55</v>
      </c>
      <c r="E217" s="286">
        <f t="shared" si="530"/>
        <v>166.321</v>
      </c>
      <c r="F217" s="286">
        <f t="shared" si="530"/>
        <v>154.59</v>
      </c>
      <c r="G217" s="286">
        <f t="shared" si="530"/>
        <v>179.523</v>
      </c>
      <c r="H217" s="286">
        <f t="shared" si="530"/>
        <v>170.887</v>
      </c>
      <c r="I217" s="286">
        <f t="shared" si="530"/>
        <v>156.642</v>
      </c>
      <c r="J217" s="287">
        <f t="shared" si="530"/>
        <v>133.01900000000001</v>
      </c>
      <c r="K217" s="288">
        <f t="shared" si="530"/>
        <v>132.30199999999999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531">+D213/C213-1</f>
        <v>2.4219380394649992E-2</v>
      </c>
      <c r="E218" s="257">
        <f t="shared" si="531"/>
        <v>-7.3351238436288879E-3</v>
      </c>
      <c r="F218" s="257">
        <f t="shared" si="531"/>
        <v>-7.0532283956926678E-2</v>
      </c>
      <c r="G218" s="257">
        <f t="shared" si="531"/>
        <v>0.1612846885309529</v>
      </c>
      <c r="H218" s="257">
        <f t="shared" si="531"/>
        <v>-4.81052567080541E-2</v>
      </c>
      <c r="I218" s="257">
        <f t="shared" si="531"/>
        <v>-8.3359178872588369E-2</v>
      </c>
      <c r="J218" s="258">
        <f t="shared" si="531"/>
        <v>-0.15080885075522521</v>
      </c>
      <c r="K218" s="269">
        <f t="shared" si="531"/>
        <v>-5.3902074139785539E-3</v>
      </c>
    </row>
    <row r="219" spans="1:11" x14ac:dyDescent="0.25">
      <c r="A219" s="268" t="s">
        <v>304</v>
      </c>
      <c r="B219" s="256"/>
      <c r="C219" s="257"/>
      <c r="D219" s="257"/>
      <c r="E219" s="257"/>
      <c r="F219" s="257"/>
      <c r="G219" s="257"/>
      <c r="H219" s="257"/>
      <c r="I219" s="257"/>
      <c r="J219" s="258"/>
      <c r="K219" s="269"/>
    </row>
    <row r="220" spans="1:11" x14ac:dyDescent="0.25">
      <c r="A220" s="268" t="s">
        <v>305</v>
      </c>
      <c r="B220" s="256"/>
      <c r="C220" s="257"/>
      <c r="D220" s="257"/>
      <c r="E220" s="257"/>
      <c r="F220" s="257"/>
      <c r="G220" s="257"/>
      <c r="H220" s="257"/>
      <c r="I220" s="257"/>
      <c r="J220" s="258"/>
      <c r="K220" s="269"/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22" t="str">
        <f>+A76</f>
        <v>EXPORTACION GRANEL - Millones de dólares</v>
      </c>
      <c r="B226" s="323"/>
      <c r="C226" s="323"/>
      <c r="D226" s="323"/>
      <c r="E226" s="323"/>
      <c r="F226" s="323"/>
      <c r="G226" s="323"/>
      <c r="H226" s="323"/>
      <c r="I226" s="323"/>
      <c r="J226" s="323"/>
      <c r="K226" s="324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532">+C227+1</f>
        <v>2018</v>
      </c>
      <c r="E227" s="281">
        <f t="shared" ref="E227" si="533">+D227+1</f>
        <v>2019</v>
      </c>
      <c r="F227" s="281">
        <f t="shared" ref="F227" si="534">+E227+1</f>
        <v>2020</v>
      </c>
      <c r="G227" s="281">
        <f t="shared" ref="G227" si="535">+F227+1</f>
        <v>2021</v>
      </c>
      <c r="H227" s="281">
        <f t="shared" ref="H227" si="536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537">+SUM(C78:C80)</f>
        <v>13.498000000000001</v>
      </c>
      <c r="D228" s="6">
        <f t="shared" si="537"/>
        <v>11.989000000000001</v>
      </c>
      <c r="E228" s="6">
        <f t="shared" si="537"/>
        <v>17.666</v>
      </c>
      <c r="F228" s="6">
        <f t="shared" si="537"/>
        <v>24.908999999999999</v>
      </c>
      <c r="G228" s="6">
        <f t="shared" si="537"/>
        <v>19.210999999999999</v>
      </c>
      <c r="H228" s="6">
        <f t="shared" si="537"/>
        <v>16.401</v>
      </c>
      <c r="I228" s="6">
        <f t="shared" si="537"/>
        <v>13.319000000000001</v>
      </c>
      <c r="J228" s="67">
        <f t="shared" si="537"/>
        <v>11.321999999999999</v>
      </c>
      <c r="K228" s="265">
        <f t="shared" si="537"/>
        <v>10.472999999999999</v>
      </c>
    </row>
    <row r="229" spans="1:11" x14ac:dyDescent="0.25">
      <c r="A229" s="264" t="s">
        <v>300</v>
      </c>
      <c r="B229" s="193"/>
      <c r="C229" s="6"/>
      <c r="D229" s="6"/>
      <c r="E229" s="6"/>
      <c r="F229" s="6"/>
      <c r="G229" s="6"/>
      <c r="H229" s="6"/>
      <c r="I229" s="6"/>
      <c r="J229" s="67"/>
      <c r="K229" s="265"/>
    </row>
    <row r="230" spans="1:11" x14ac:dyDescent="0.25">
      <c r="A230" s="264" t="s">
        <v>301</v>
      </c>
      <c r="B230" s="193"/>
      <c r="C230" s="6"/>
      <c r="D230" s="6"/>
      <c r="E230" s="6"/>
      <c r="F230" s="6"/>
      <c r="G230" s="6"/>
      <c r="H230" s="6"/>
      <c r="I230" s="6"/>
      <c r="J230" s="67"/>
      <c r="K230" s="265"/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538">SUM(B228:B231)</f>
        <v>16.38015</v>
      </c>
      <c r="C232" s="286">
        <f t="shared" si="538"/>
        <v>13.498000000000001</v>
      </c>
      <c r="D232" s="286">
        <f t="shared" si="538"/>
        <v>11.989000000000001</v>
      </c>
      <c r="E232" s="286">
        <f t="shared" si="538"/>
        <v>17.666</v>
      </c>
      <c r="F232" s="286">
        <f t="shared" si="538"/>
        <v>24.908999999999999</v>
      </c>
      <c r="G232" s="286">
        <f t="shared" si="538"/>
        <v>19.210999999999999</v>
      </c>
      <c r="H232" s="286">
        <f t="shared" si="538"/>
        <v>16.401</v>
      </c>
      <c r="I232" s="286">
        <f t="shared" si="538"/>
        <v>13.319000000000001</v>
      </c>
      <c r="J232" s="287">
        <f t="shared" si="538"/>
        <v>11.321999999999999</v>
      </c>
      <c r="K232" s="288">
        <f t="shared" si="538"/>
        <v>10.472999999999999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539">+D228/C228-1</f>
        <v>-0.11179433990220777</v>
      </c>
      <c r="E233" s="257">
        <f t="shared" si="539"/>
        <v>0.47351739094169654</v>
      </c>
      <c r="F233" s="257">
        <f t="shared" si="539"/>
        <v>0.40999660364542057</v>
      </c>
      <c r="G233" s="257">
        <f t="shared" si="539"/>
        <v>-0.2287526596812397</v>
      </c>
      <c r="H233" s="257">
        <f t="shared" si="539"/>
        <v>-0.14627036593618237</v>
      </c>
      <c r="I233" s="257">
        <f t="shared" si="539"/>
        <v>-0.1879153710139625</v>
      </c>
      <c r="J233" s="258">
        <f t="shared" si="539"/>
        <v>-0.14993618139499976</v>
      </c>
      <c r="K233" s="269">
        <f t="shared" si="539"/>
        <v>-7.4986751457339684E-2</v>
      </c>
    </row>
    <row r="234" spans="1:11" x14ac:dyDescent="0.25">
      <c r="A234" s="268" t="s">
        <v>304</v>
      </c>
      <c r="B234" s="256"/>
      <c r="C234" s="257"/>
      <c r="D234" s="257"/>
      <c r="E234" s="257"/>
      <c r="F234" s="257"/>
      <c r="G234" s="257"/>
      <c r="H234" s="257"/>
      <c r="I234" s="257"/>
      <c r="J234" s="258"/>
      <c r="K234" s="269"/>
    </row>
    <row r="235" spans="1:11" x14ac:dyDescent="0.25">
      <c r="A235" s="268" t="s">
        <v>305</v>
      </c>
      <c r="B235" s="256"/>
      <c r="C235" s="257"/>
      <c r="D235" s="257"/>
      <c r="E235" s="257"/>
      <c r="F235" s="257"/>
      <c r="G235" s="257"/>
      <c r="H235" s="257"/>
      <c r="I235" s="257"/>
      <c r="J235" s="258"/>
      <c r="K235" s="269"/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41" t="str">
        <f>+A94</f>
        <v>EXPORTACION DE VINO - Millones de dólares</v>
      </c>
      <c r="B241" s="342"/>
      <c r="C241" s="342"/>
      <c r="D241" s="342"/>
      <c r="E241" s="342"/>
      <c r="F241" s="342"/>
      <c r="G241" s="342"/>
      <c r="H241" s="342"/>
      <c r="I241" s="342"/>
      <c r="J241" s="342"/>
      <c r="K241" s="343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540">+C242+1</f>
        <v>2018</v>
      </c>
      <c r="E242" s="281">
        <f t="shared" ref="E242" si="541">+D242+1</f>
        <v>2019</v>
      </c>
      <c r="F242" s="281">
        <f t="shared" ref="F242" si="542">+E242+1</f>
        <v>2020</v>
      </c>
      <c r="G242" s="281">
        <f t="shared" ref="G242" si="543">+F242+1</f>
        <v>2021</v>
      </c>
      <c r="H242" s="281">
        <f t="shared" ref="H242" si="544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545">+SUM(C96:C98)</f>
        <v>177.08600000000001</v>
      </c>
      <c r="D243" s="6">
        <f t="shared" si="545"/>
        <v>179.53899999999999</v>
      </c>
      <c r="E243" s="6">
        <f t="shared" si="545"/>
        <v>183.98700000000002</v>
      </c>
      <c r="F243" s="6">
        <f t="shared" si="545"/>
        <v>179.49900000000002</v>
      </c>
      <c r="G243" s="6">
        <f t="shared" si="545"/>
        <v>198.73400000000001</v>
      </c>
      <c r="H243" s="6">
        <f t="shared" si="545"/>
        <v>187.28800000000001</v>
      </c>
      <c r="I243" s="6">
        <f t="shared" si="545"/>
        <v>169.96099999999998</v>
      </c>
      <c r="J243" s="67">
        <f t="shared" si="545"/>
        <v>144.34100000000001</v>
      </c>
      <c r="K243" s="265">
        <f t="shared" si="545"/>
        <v>142.77500000000001</v>
      </c>
    </row>
    <row r="244" spans="1:11" x14ac:dyDescent="0.25">
      <c r="A244" s="264" t="s">
        <v>300</v>
      </c>
      <c r="B244" s="193"/>
      <c r="C244" s="6"/>
      <c r="D244" s="6"/>
      <c r="E244" s="6"/>
      <c r="F244" s="6"/>
      <c r="G244" s="6"/>
      <c r="H244" s="6"/>
      <c r="I244" s="6"/>
      <c r="J244" s="67"/>
      <c r="K244" s="265"/>
    </row>
    <row r="245" spans="1:11" x14ac:dyDescent="0.25">
      <c r="A245" s="264" t="s">
        <v>301</v>
      </c>
      <c r="B245" s="193"/>
      <c r="C245" s="6"/>
      <c r="D245" s="6"/>
      <c r="E245" s="6"/>
      <c r="F245" s="6"/>
      <c r="G245" s="6"/>
      <c r="H245" s="6"/>
      <c r="I245" s="6"/>
      <c r="J245" s="67"/>
      <c r="K245" s="265"/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546">SUM(B243:B246)</f>
        <v>182.58816999999999</v>
      </c>
      <c r="C247" s="286">
        <f t="shared" si="546"/>
        <v>177.08600000000001</v>
      </c>
      <c r="D247" s="286">
        <f t="shared" si="546"/>
        <v>179.53899999999999</v>
      </c>
      <c r="E247" s="286">
        <f t="shared" si="546"/>
        <v>183.98700000000002</v>
      </c>
      <c r="F247" s="286">
        <f t="shared" si="546"/>
        <v>179.49900000000002</v>
      </c>
      <c r="G247" s="286">
        <f t="shared" si="546"/>
        <v>198.73400000000001</v>
      </c>
      <c r="H247" s="286">
        <f t="shared" si="546"/>
        <v>187.28800000000001</v>
      </c>
      <c r="I247" s="286">
        <f t="shared" si="546"/>
        <v>169.96099999999998</v>
      </c>
      <c r="J247" s="287">
        <f t="shared" si="546"/>
        <v>144.34100000000001</v>
      </c>
      <c r="K247" s="288">
        <f t="shared" si="546"/>
        <v>142.77500000000001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547">+D243/C243-1</f>
        <v>1.3852026698891962E-2</v>
      </c>
      <c r="E248" s="257">
        <f t="shared" si="547"/>
        <v>2.4774561515882532E-2</v>
      </c>
      <c r="F248" s="257">
        <f t="shared" si="547"/>
        <v>-2.439302776826624E-2</v>
      </c>
      <c r="G248" s="257">
        <f t="shared" si="547"/>
        <v>0.1071593713614003</v>
      </c>
      <c r="H248" s="257">
        <f t="shared" si="547"/>
        <v>-5.7594573651212122E-2</v>
      </c>
      <c r="I248" s="257">
        <f t="shared" si="547"/>
        <v>-9.25152705992911E-2</v>
      </c>
      <c r="J248" s="258">
        <f t="shared" si="547"/>
        <v>-0.15074046398879726</v>
      </c>
      <c r="K248" s="269">
        <f t="shared" si="547"/>
        <v>-1.0849308235359345E-2</v>
      </c>
    </row>
    <row r="249" spans="1:11" x14ac:dyDescent="0.25">
      <c r="A249" s="268" t="s">
        <v>304</v>
      </c>
      <c r="B249" s="256"/>
      <c r="C249" s="257"/>
      <c r="D249" s="257"/>
      <c r="E249" s="257"/>
      <c r="F249" s="257"/>
      <c r="G249" s="257"/>
      <c r="H249" s="257"/>
      <c r="I249" s="257"/>
      <c r="J249" s="258"/>
      <c r="K249" s="269"/>
    </row>
    <row r="250" spans="1:11" x14ac:dyDescent="0.25">
      <c r="A250" s="268" t="s">
        <v>305</v>
      </c>
      <c r="B250" s="256"/>
      <c r="C250" s="257"/>
      <c r="D250" s="257"/>
      <c r="E250" s="257"/>
      <c r="F250" s="257"/>
      <c r="G250" s="257"/>
      <c r="H250" s="257"/>
      <c r="I250" s="257"/>
      <c r="J250" s="258"/>
      <c r="K250" s="269"/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22" t="str">
        <f>+A111</f>
        <v>PRECIO EXPORTACION FRACCIONADO - Dólares/litro</v>
      </c>
      <c r="B256" s="323"/>
      <c r="C256" s="323"/>
      <c r="D256" s="323"/>
      <c r="E256" s="323"/>
      <c r="F256" s="323"/>
      <c r="G256" s="323"/>
      <c r="H256" s="323"/>
      <c r="I256" s="323"/>
      <c r="J256" s="323"/>
      <c r="K256" s="324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548">+C257+1</f>
        <v>2018</v>
      </c>
      <c r="E257" s="291">
        <f t="shared" ref="E257" si="549">+D257+1</f>
        <v>2019</v>
      </c>
      <c r="F257" s="291">
        <f t="shared" ref="F257" si="550">+E257+1</f>
        <v>2020</v>
      </c>
      <c r="G257" s="291">
        <f t="shared" ref="G257" si="551">+F257+1</f>
        <v>2021</v>
      </c>
      <c r="H257" s="291">
        <f t="shared" ref="H257" si="552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58" si="553">+C213/C168</f>
        <v>3.893367224296775</v>
      </c>
      <c r="D258" s="158">
        <f t="shared" si="553"/>
        <v>4.0652083191801163</v>
      </c>
      <c r="E258" s="158">
        <f t="shared" si="553"/>
        <v>3.8942298686946257</v>
      </c>
      <c r="F258" s="158">
        <f t="shared" si="553"/>
        <v>3.7302736354423058</v>
      </c>
      <c r="G258" s="158">
        <f t="shared" si="553"/>
        <v>3.6251453911020644</v>
      </c>
      <c r="H258" s="158">
        <f t="shared" si="553"/>
        <v>3.7652333895186794</v>
      </c>
      <c r="I258" s="158">
        <f t="shared" si="553"/>
        <v>4.0279774226313689</v>
      </c>
      <c r="J258" s="214">
        <f t="shared" si="553"/>
        <v>4.1923080559608943</v>
      </c>
      <c r="K258" s="299">
        <f t="shared" si="553"/>
        <v>4.272133709628462</v>
      </c>
    </row>
    <row r="259" spans="1:11" x14ac:dyDescent="0.25">
      <c r="A259" s="264" t="s">
        <v>300</v>
      </c>
      <c r="B259" s="193"/>
      <c r="C259" s="6"/>
      <c r="D259" s="6"/>
      <c r="E259" s="6"/>
      <c r="F259" s="6"/>
      <c r="G259" s="6"/>
      <c r="H259" s="6"/>
      <c r="I259" s="6"/>
      <c r="J259" s="67"/>
      <c r="K259" s="265"/>
    </row>
    <row r="260" spans="1:11" x14ac:dyDescent="0.25">
      <c r="A260" s="264" t="s">
        <v>301</v>
      </c>
      <c r="B260" s="193"/>
      <c r="C260" s="6"/>
      <c r="D260" s="6"/>
      <c r="E260" s="6"/>
      <c r="F260" s="6"/>
      <c r="G260" s="6"/>
      <c r="H260" s="6"/>
      <c r="I260" s="6"/>
      <c r="J260" s="67"/>
      <c r="K260" s="265"/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554">SUM(B258:B261)</f>
        <v>3.6658223771997736</v>
      </c>
      <c r="C262" s="286">
        <f t="shared" si="554"/>
        <v>3.893367224296775</v>
      </c>
      <c r="D262" s="286">
        <f t="shared" si="554"/>
        <v>4.0652083191801163</v>
      </c>
      <c r="E262" s="286">
        <f t="shared" si="554"/>
        <v>3.8942298686946257</v>
      </c>
      <c r="F262" s="286">
        <f t="shared" si="554"/>
        <v>3.7302736354423058</v>
      </c>
      <c r="G262" s="286">
        <f t="shared" si="554"/>
        <v>3.6251453911020644</v>
      </c>
      <c r="H262" s="286">
        <f t="shared" si="554"/>
        <v>3.7652333895186794</v>
      </c>
      <c r="I262" s="286">
        <f t="shared" si="554"/>
        <v>4.0279774226313689</v>
      </c>
      <c r="J262" s="287">
        <f t="shared" si="554"/>
        <v>4.1923080559608943</v>
      </c>
      <c r="K262" s="288">
        <f t="shared" si="554"/>
        <v>4.272133709628462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555">+D258/C258-1</f>
        <v>4.4136883315541775E-2</v>
      </c>
      <c r="E263" s="257">
        <f t="shared" si="555"/>
        <v>-4.2058964033600654E-2</v>
      </c>
      <c r="F263" s="257">
        <f t="shared" si="555"/>
        <v>-4.2102351114491121E-2</v>
      </c>
      <c r="G263" s="257">
        <f t="shared" si="555"/>
        <v>-2.8182448424531215E-2</v>
      </c>
      <c r="H263" s="257">
        <f t="shared" si="555"/>
        <v>3.86434151745918E-2</v>
      </c>
      <c r="I263" s="257">
        <f t="shared" si="555"/>
        <v>6.978160606035555E-2</v>
      </c>
      <c r="J263" s="258">
        <f t="shared" si="555"/>
        <v>4.0797307454164544E-2</v>
      </c>
      <c r="K263" s="269">
        <f t="shared" si="555"/>
        <v>1.9040979957106519E-2</v>
      </c>
    </row>
    <row r="264" spans="1:11" x14ac:dyDescent="0.25">
      <c r="A264" s="268" t="s">
        <v>304</v>
      </c>
      <c r="B264" s="256"/>
      <c r="C264" s="257"/>
      <c r="D264" s="257"/>
      <c r="E264" s="257"/>
      <c r="F264" s="257"/>
      <c r="G264" s="257"/>
      <c r="H264" s="257"/>
      <c r="I264" s="257"/>
      <c r="J264" s="258"/>
      <c r="K264" s="269"/>
    </row>
    <row r="265" spans="1:11" x14ac:dyDescent="0.25">
      <c r="A265" s="268" t="s">
        <v>305</v>
      </c>
      <c r="B265" s="256"/>
      <c r="C265" s="257"/>
      <c r="D265" s="257"/>
      <c r="E265" s="257"/>
      <c r="F265" s="257"/>
      <c r="G265" s="257"/>
      <c r="H265" s="257"/>
      <c r="I265" s="257"/>
      <c r="J265" s="258"/>
      <c r="K265" s="269"/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22" t="str">
        <f>+A129</f>
        <v>PRECIO EXPORTACION GRANEL - U$S/Litro</v>
      </c>
      <c r="B271" s="323"/>
      <c r="C271" s="323"/>
      <c r="D271" s="323"/>
      <c r="E271" s="323"/>
      <c r="F271" s="323"/>
      <c r="G271" s="323"/>
      <c r="H271" s="323"/>
      <c r="I271" s="323"/>
      <c r="J271" s="323"/>
      <c r="K271" s="324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556">+C272+1</f>
        <v>2018</v>
      </c>
      <c r="E272" s="291">
        <f t="shared" ref="E272" si="557">+D272+1</f>
        <v>2019</v>
      </c>
      <c r="F272" s="291">
        <f t="shared" ref="F272" si="558">+E272+1</f>
        <v>2020</v>
      </c>
      <c r="G272" s="291">
        <f t="shared" ref="G272" si="559">+F272+1</f>
        <v>2021</v>
      </c>
      <c r="H272" s="291">
        <f t="shared" ref="H272" si="560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3" si="561">+C228/C183</f>
        <v>1.420139509926668</v>
      </c>
      <c r="D273" s="158">
        <f t="shared" si="561"/>
        <v>1.6062433011789925</v>
      </c>
      <c r="E273" s="158">
        <f t="shared" si="561"/>
        <v>0.67024057486047717</v>
      </c>
      <c r="F273" s="158">
        <f t="shared" si="561"/>
        <v>0.33966463077886005</v>
      </c>
      <c r="G273" s="158">
        <f t="shared" si="561"/>
        <v>0.63852558456450559</v>
      </c>
      <c r="H273" s="158">
        <f t="shared" si="561"/>
        <v>0.83869846026396944</v>
      </c>
      <c r="I273" s="158">
        <f t="shared" si="561"/>
        <v>0.98500928137734178</v>
      </c>
      <c r="J273" s="214">
        <f t="shared" si="561"/>
        <v>1.0250235387846742</v>
      </c>
      <c r="K273" s="299">
        <f t="shared" si="561"/>
        <v>0.99561749579336623</v>
      </c>
    </row>
    <row r="274" spans="1:11" x14ac:dyDescent="0.25">
      <c r="A274" s="264" t="s">
        <v>300</v>
      </c>
      <c r="B274" s="193"/>
      <c r="C274" s="6"/>
      <c r="D274" s="6"/>
      <c r="E274" s="6"/>
      <c r="F274" s="6"/>
      <c r="G274" s="6"/>
      <c r="H274" s="6"/>
      <c r="I274" s="6"/>
      <c r="J274" s="67"/>
      <c r="K274" s="265"/>
    </row>
    <row r="275" spans="1:11" x14ac:dyDescent="0.25">
      <c r="A275" s="264" t="s">
        <v>301</v>
      </c>
      <c r="B275" s="193"/>
      <c r="C275" s="6"/>
      <c r="D275" s="6"/>
      <c r="E275" s="6"/>
      <c r="F275" s="6"/>
      <c r="G275" s="6"/>
      <c r="H275" s="6"/>
      <c r="I275" s="6"/>
      <c r="J275" s="67"/>
      <c r="K275" s="265"/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562">SUM(B273:B276)</f>
        <v>1.0527436446165381</v>
      </c>
      <c r="C277" s="296">
        <f t="shared" si="562"/>
        <v>1.420139509926668</v>
      </c>
      <c r="D277" s="296">
        <f t="shared" si="562"/>
        <v>1.6062433011789925</v>
      </c>
      <c r="E277" s="296">
        <f t="shared" si="562"/>
        <v>0.67024057486047717</v>
      </c>
      <c r="F277" s="296">
        <f t="shared" si="562"/>
        <v>0.33966463077886005</v>
      </c>
      <c r="G277" s="296">
        <f t="shared" si="562"/>
        <v>0.63852558456450559</v>
      </c>
      <c r="H277" s="296">
        <f t="shared" si="562"/>
        <v>0.83869846026396944</v>
      </c>
      <c r="I277" s="296">
        <f t="shared" si="562"/>
        <v>0.98500928137734178</v>
      </c>
      <c r="J277" s="297">
        <f t="shared" si="562"/>
        <v>1.0250235387846742</v>
      </c>
      <c r="K277" s="298">
        <f t="shared" si="562"/>
        <v>0.99561749579336623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563">+D273/C273-1</f>
        <v>0.13104613310979163</v>
      </c>
      <c r="E278" s="257">
        <f t="shared" si="563"/>
        <v>-0.58272786297784629</v>
      </c>
      <c r="F278" s="257">
        <f t="shared" si="563"/>
        <v>-0.49321983252122947</v>
      </c>
      <c r="G278" s="257">
        <f t="shared" si="563"/>
        <v>0.87987069215993841</v>
      </c>
      <c r="H278" s="257">
        <f t="shared" si="563"/>
        <v>0.31349233380521158</v>
      </c>
      <c r="I278" s="257">
        <f t="shared" si="563"/>
        <v>0.17444985062607943</v>
      </c>
      <c r="J278" s="258">
        <f t="shared" si="563"/>
        <v>4.0623228799814282E-2</v>
      </c>
      <c r="K278" s="269">
        <f t="shared" si="563"/>
        <v>-2.8688163616392148E-2</v>
      </c>
    </row>
    <row r="279" spans="1:11" x14ac:dyDescent="0.25">
      <c r="A279" s="268" t="s">
        <v>304</v>
      </c>
      <c r="B279" s="256"/>
      <c r="C279" s="257"/>
      <c r="D279" s="257"/>
      <c r="E279" s="257"/>
      <c r="F279" s="257"/>
      <c r="G279" s="257"/>
      <c r="H279" s="257"/>
      <c r="I279" s="257"/>
      <c r="J279" s="258"/>
      <c r="K279" s="269"/>
    </row>
    <row r="280" spans="1:11" x14ac:dyDescent="0.25">
      <c r="A280" s="268" t="s">
        <v>305</v>
      </c>
      <c r="B280" s="256"/>
      <c r="C280" s="257"/>
      <c r="D280" s="257"/>
      <c r="E280" s="257"/>
      <c r="F280" s="257"/>
      <c r="G280" s="257"/>
      <c r="H280" s="257"/>
      <c r="I280" s="257"/>
      <c r="J280" s="258"/>
      <c r="K280" s="269"/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44" t="str">
        <f>+A147</f>
        <v>PRECIO DE EXPORTACION DE VINO - U$S/Litro</v>
      </c>
      <c r="B286" s="345"/>
      <c r="C286" s="345"/>
      <c r="D286" s="345"/>
      <c r="E286" s="345"/>
      <c r="F286" s="345"/>
      <c r="G286" s="345"/>
      <c r="H286" s="345"/>
      <c r="I286" s="345"/>
      <c r="J286" s="345"/>
      <c r="K286" s="346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564">+C287+1</f>
        <v>2018</v>
      </c>
      <c r="E287" s="291">
        <f t="shared" ref="E287" si="565">+D287+1</f>
        <v>2019</v>
      </c>
      <c r="F287" s="291">
        <f t="shared" ref="F287" si="566">+E287+1</f>
        <v>2020</v>
      </c>
      <c r="G287" s="291">
        <f t="shared" ref="G287" si="567">+F287+1</f>
        <v>2021</v>
      </c>
      <c r="H287" s="291">
        <f t="shared" ref="H287" si="568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88" si="569">+C243/C198</f>
        <v>3.4371081755684005</v>
      </c>
      <c r="D288" s="158">
        <f t="shared" si="569"/>
        <v>3.6881773884748434</v>
      </c>
      <c r="E288" s="158">
        <f t="shared" si="569"/>
        <v>2.6638800126832818</v>
      </c>
      <c r="F288" s="158">
        <f t="shared" si="569"/>
        <v>1.5639057260178733</v>
      </c>
      <c r="G288" s="158">
        <f t="shared" si="569"/>
        <v>2.4964042603704901</v>
      </c>
      <c r="H288" s="158">
        <f t="shared" si="569"/>
        <v>2.8839804868434022</v>
      </c>
      <c r="I288" s="158">
        <f t="shared" si="569"/>
        <v>3.2428992829640029</v>
      </c>
      <c r="J288" s="214">
        <f t="shared" si="569"/>
        <v>3.3744322020624251</v>
      </c>
      <c r="K288" s="299">
        <f t="shared" si="569"/>
        <v>3.4413814214815481</v>
      </c>
    </row>
    <row r="289" spans="1:11" x14ac:dyDescent="0.25">
      <c r="A289" s="264" t="s">
        <v>300</v>
      </c>
      <c r="B289" s="193"/>
      <c r="C289" s="6"/>
      <c r="D289" s="6"/>
      <c r="E289" s="6"/>
      <c r="F289" s="6"/>
      <c r="G289" s="6"/>
      <c r="H289" s="6"/>
      <c r="I289" s="6"/>
      <c r="J289" s="67"/>
      <c r="K289" s="265"/>
    </row>
    <row r="290" spans="1:11" x14ac:dyDescent="0.25">
      <c r="A290" s="264" t="s">
        <v>301</v>
      </c>
      <c r="B290" s="193"/>
      <c r="C290" s="6"/>
      <c r="D290" s="6"/>
      <c r="E290" s="6"/>
      <c r="F290" s="6"/>
      <c r="G290" s="6"/>
      <c r="H290" s="6"/>
      <c r="I290" s="6"/>
      <c r="J290" s="67"/>
      <c r="K290" s="265"/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570">SUM(B288:B291)</f>
        <v>2.9981939390981709</v>
      </c>
      <c r="C292" s="296">
        <f t="shared" si="570"/>
        <v>3.4371081755684005</v>
      </c>
      <c r="D292" s="296">
        <f t="shared" si="570"/>
        <v>3.6881773884748434</v>
      </c>
      <c r="E292" s="296">
        <f t="shared" si="570"/>
        <v>2.6638800126832818</v>
      </c>
      <c r="F292" s="296">
        <f t="shared" si="570"/>
        <v>1.5639057260178733</v>
      </c>
      <c r="G292" s="296">
        <f t="shared" si="570"/>
        <v>2.4964042603704901</v>
      </c>
      <c r="H292" s="296">
        <f t="shared" si="570"/>
        <v>2.8839804868434022</v>
      </c>
      <c r="I292" s="296">
        <f t="shared" si="570"/>
        <v>3.2428992829640029</v>
      </c>
      <c r="J292" s="297">
        <f t="shared" si="570"/>
        <v>3.3744322020624251</v>
      </c>
      <c r="K292" s="298">
        <f t="shared" si="570"/>
        <v>3.4413814214815481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571">+D288/C288-1</f>
        <v>7.3046642724569733E-2</v>
      </c>
      <c r="E293" s="257">
        <f t="shared" si="571"/>
        <v>-0.27772454193564022</v>
      </c>
      <c r="F293" s="257">
        <f t="shared" si="571"/>
        <v>-0.41292185887810418</v>
      </c>
      <c r="G293" s="257">
        <f t="shared" si="571"/>
        <v>0.59626262557846776</v>
      </c>
      <c r="H293" s="257">
        <f t="shared" si="571"/>
        <v>0.155253791473418</v>
      </c>
      <c r="I293" s="257">
        <f t="shared" si="571"/>
        <v>0.1244525744047067</v>
      </c>
      <c r="J293" s="258">
        <f t="shared" si="571"/>
        <v>4.0560284986156381E-2</v>
      </c>
      <c r="K293" s="269">
        <f t="shared" si="571"/>
        <v>1.9840143588661929E-2</v>
      </c>
    </row>
    <row r="294" spans="1:11" x14ac:dyDescent="0.25">
      <c r="A294" s="268" t="s">
        <v>304</v>
      </c>
      <c r="B294" s="256"/>
      <c r="C294" s="257"/>
      <c r="D294" s="257"/>
      <c r="E294" s="257"/>
      <c r="F294" s="257"/>
      <c r="G294" s="257"/>
      <c r="H294" s="257"/>
      <c r="I294" s="257"/>
      <c r="J294" s="258"/>
      <c r="K294" s="269"/>
    </row>
    <row r="295" spans="1:11" x14ac:dyDescent="0.25">
      <c r="A295" s="268" t="s">
        <v>305</v>
      </c>
      <c r="B295" s="256"/>
      <c r="C295" s="257"/>
      <c r="D295" s="257"/>
      <c r="E295" s="257"/>
      <c r="F295" s="257"/>
      <c r="G295" s="257"/>
      <c r="H295" s="257"/>
      <c r="I295" s="257"/>
      <c r="J295" s="258"/>
      <c r="K295" s="269"/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workbookViewId="0">
      <selection activeCell="X475" sqref="X475:Z475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24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47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48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49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/>
      <c r="L10" s="7"/>
      <c r="M10" s="2"/>
      <c r="N10" s="42" t="s">
        <v>1</v>
      </c>
      <c r="O10" s="6">
        <f>+SUM('[1]6.EXPORTACION VARIETAL'!B309:B320)/10000</f>
        <v>123.61340799999998</v>
      </c>
      <c r="P10" s="6">
        <f t="shared" ref="P10:W10" si="5">+SUM(C7:C10)+SUM(B11:B18)</f>
        <v>124.91805599999998</v>
      </c>
      <c r="Q10" s="6">
        <f t="shared" si="5"/>
        <v>117.43960000000001</v>
      </c>
      <c r="R10" s="6">
        <f t="shared" si="5"/>
        <v>121.9293</v>
      </c>
      <c r="S10" s="6">
        <f t="shared" si="5"/>
        <v>129.02010000000001</v>
      </c>
      <c r="T10" s="6">
        <f t="shared" si="5"/>
        <v>158.96039999999999</v>
      </c>
      <c r="U10" s="6">
        <f t="shared" si="5"/>
        <v>160.96003999999999</v>
      </c>
      <c r="V10" s="6">
        <f t="shared" si="5"/>
        <v>139.16495599999999</v>
      </c>
      <c r="W10" s="67">
        <f t="shared" si="5"/>
        <v>124.5684</v>
      </c>
      <c r="X10" s="37"/>
      <c r="Y10" s="78"/>
      <c r="Z10" s="7"/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/>
      <c r="L11" s="7"/>
      <c r="M11" s="2"/>
      <c r="N11" s="42" t="s">
        <v>2</v>
      </c>
      <c r="O11" s="6">
        <f>+SUM('[1]6.EXPORTACION VARIETAL'!B310:B321)/10000</f>
        <v>124.1315</v>
      </c>
      <c r="P11" s="6">
        <f t="shared" ref="P11:W11" si="6">+SUM(C7:C11)+SUM(B12:B18)</f>
        <v>123.802966</v>
      </c>
      <c r="Q11" s="6">
        <f t="shared" si="6"/>
        <v>117.93010000000001</v>
      </c>
      <c r="R11" s="6">
        <f t="shared" si="6"/>
        <v>122.62200000000001</v>
      </c>
      <c r="S11" s="6">
        <f t="shared" si="6"/>
        <v>129.94470000000001</v>
      </c>
      <c r="T11" s="6">
        <f t="shared" si="6"/>
        <v>161.00979999999998</v>
      </c>
      <c r="U11" s="6">
        <f t="shared" si="6"/>
        <v>159.446776</v>
      </c>
      <c r="V11" s="6">
        <f t="shared" si="6"/>
        <v>138.10142000000002</v>
      </c>
      <c r="W11" s="67">
        <f t="shared" si="6"/>
        <v>123.9195</v>
      </c>
      <c r="X11" s="37"/>
      <c r="Y11" s="78"/>
      <c r="Z11" s="7"/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/>
      <c r="L12" s="7"/>
      <c r="M12" s="2"/>
      <c r="N12" s="42" t="s">
        <v>3</v>
      </c>
      <c r="O12" s="6">
        <f>+SUM('[1]6.EXPORTACION VARIETAL'!B311:B322)/10000</f>
        <v>121.86432800000003</v>
      </c>
      <c r="P12" s="6">
        <f t="shared" ref="P12:W12" si="7">+SUM(C7:C12)+SUM(B13:B18)</f>
        <v>124.954903</v>
      </c>
      <c r="Q12" s="6">
        <f t="shared" si="7"/>
        <v>116.6429</v>
      </c>
      <c r="R12" s="6">
        <f t="shared" si="7"/>
        <v>123.0117</v>
      </c>
      <c r="S12" s="6">
        <f t="shared" si="7"/>
        <v>132.00280000000001</v>
      </c>
      <c r="T12" s="6">
        <f t="shared" si="7"/>
        <v>163.96769999999998</v>
      </c>
      <c r="U12" s="6">
        <f t="shared" si="7"/>
        <v>159.76868899999999</v>
      </c>
      <c r="V12" s="6">
        <f t="shared" si="7"/>
        <v>132.64580699999999</v>
      </c>
      <c r="W12" s="67">
        <f t="shared" si="7"/>
        <v>121.7235</v>
      </c>
      <c r="X12" s="37"/>
      <c r="Y12" s="78"/>
      <c r="Z12" s="7"/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/>
      <c r="L13" s="7"/>
      <c r="M13" s="2"/>
      <c r="N13" s="42" t="s">
        <v>4</v>
      </c>
      <c r="O13" s="6">
        <f>+SUM('[1]6.EXPORTACION VARIETAL'!B312:B323)/10000</f>
        <v>121.48381000000003</v>
      </c>
      <c r="P13" s="6">
        <f t="shared" ref="P13:W13" si="8">+SUM(C7:C13)+SUM(B14:B18)</f>
        <v>125.532106</v>
      </c>
      <c r="Q13" s="6">
        <f t="shared" si="8"/>
        <v>118.2572</v>
      </c>
      <c r="R13" s="6">
        <f t="shared" si="8"/>
        <v>122.0069</v>
      </c>
      <c r="S13" s="6">
        <f t="shared" si="8"/>
        <v>136.7901</v>
      </c>
      <c r="T13" s="6">
        <f t="shared" si="8"/>
        <v>162.58440000000002</v>
      </c>
      <c r="U13" s="6">
        <f t="shared" si="8"/>
        <v>156.911417</v>
      </c>
      <c r="V13" s="6">
        <f t="shared" si="8"/>
        <v>131.460579</v>
      </c>
      <c r="W13" s="67">
        <f t="shared" si="8"/>
        <v>126.18600000000001</v>
      </c>
      <c r="X13" s="37"/>
      <c r="Y13" s="78"/>
      <c r="Z13" s="7"/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/>
      <c r="L14" s="7"/>
      <c r="M14" s="2"/>
      <c r="N14" s="42" t="s">
        <v>5</v>
      </c>
      <c r="O14" s="6">
        <f>+SUM('[1]6.EXPORTACION VARIETAL'!B313:B324)/10000</f>
        <v>125.89578800000001</v>
      </c>
      <c r="P14" s="6">
        <f t="shared" ref="P14:W14" si="9">+SUM(C7:C14)+SUM(B15:B18)</f>
        <v>124.30609099999998</v>
      </c>
      <c r="Q14" s="6">
        <f t="shared" si="9"/>
        <v>116.79040000000001</v>
      </c>
      <c r="R14" s="6">
        <f t="shared" si="9"/>
        <v>123.71810000000001</v>
      </c>
      <c r="S14" s="6">
        <f t="shared" si="9"/>
        <v>137.52549999999999</v>
      </c>
      <c r="T14" s="6">
        <f t="shared" si="9"/>
        <v>162.0043</v>
      </c>
      <c r="U14" s="6">
        <f t="shared" si="9"/>
        <v>157.95856700000002</v>
      </c>
      <c r="V14" s="6">
        <f t="shared" si="9"/>
        <v>127.99052900000001</v>
      </c>
      <c r="W14" s="67">
        <f t="shared" si="9"/>
        <v>128.65600000000001</v>
      </c>
      <c r="X14" s="37"/>
      <c r="Y14" s="78"/>
      <c r="Z14" s="7"/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/>
      <c r="L15" s="7"/>
      <c r="M15" s="2"/>
      <c r="N15" s="42" t="s">
        <v>6</v>
      </c>
      <c r="O15" s="6">
        <f>+SUM('[1]6.EXPORTACION VARIETAL'!B314:B325)/10000</f>
        <v>125.731086</v>
      </c>
      <c r="P15" s="6">
        <f t="shared" ref="P15:W15" si="10">+SUM(C7:C15)+SUM(B16:B18)</f>
        <v>123.05131599999999</v>
      </c>
      <c r="Q15" s="6">
        <f t="shared" si="10"/>
        <v>116.0455</v>
      </c>
      <c r="R15" s="6">
        <f t="shared" si="10"/>
        <v>124.4927</v>
      </c>
      <c r="S15" s="6">
        <f t="shared" si="10"/>
        <v>141.518</v>
      </c>
      <c r="T15" s="6">
        <f t="shared" si="10"/>
        <v>162.27360000000002</v>
      </c>
      <c r="U15" s="6">
        <f t="shared" si="10"/>
        <v>157.922156</v>
      </c>
      <c r="V15" s="6">
        <f t="shared" si="10"/>
        <v>124.81664000000001</v>
      </c>
      <c r="W15" s="67">
        <f t="shared" si="10"/>
        <v>127.7925</v>
      </c>
      <c r="X15" s="37"/>
      <c r="Y15" s="78"/>
      <c r="Z15" s="7"/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/>
      <c r="L16" s="7"/>
      <c r="M16" s="2"/>
      <c r="N16" s="42" t="s">
        <v>7</v>
      </c>
      <c r="O16" s="6">
        <f>+SUM('[1]6.EXPORTACION VARIETAL'!B315:B326)/10000</f>
        <v>126.76471400000001</v>
      </c>
      <c r="P16" s="6">
        <f t="shared" ref="P16:W16" si="11">+SUM(C7:C16)+SUM(B17:B18)</f>
        <v>122.52369999999999</v>
      </c>
      <c r="Q16" s="6">
        <f t="shared" si="11"/>
        <v>116.104</v>
      </c>
      <c r="R16" s="6">
        <f t="shared" si="11"/>
        <v>125.2015</v>
      </c>
      <c r="S16" s="6">
        <f t="shared" si="11"/>
        <v>145.71430000000001</v>
      </c>
      <c r="T16" s="6">
        <f t="shared" si="11"/>
        <v>159.89360000000002</v>
      </c>
      <c r="U16" s="6">
        <f t="shared" si="11"/>
        <v>154.896996</v>
      </c>
      <c r="V16" s="6">
        <f t="shared" si="11"/>
        <v>124.9941</v>
      </c>
      <c r="W16" s="67">
        <f t="shared" si="11"/>
        <v>128.05760000000001</v>
      </c>
      <c r="X16" s="37"/>
      <c r="Y16" s="78"/>
      <c r="Z16" s="7"/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12">+SUM(C7:C17)+SUM(B18)</f>
        <v>121.8682</v>
      </c>
      <c r="Q17" s="6">
        <f t="shared" si="12"/>
        <v>116.8907</v>
      </c>
      <c r="R17" s="6">
        <f t="shared" si="12"/>
        <v>126.40159999999999</v>
      </c>
      <c r="S17" s="6">
        <f t="shared" si="12"/>
        <v>147.85980000000001</v>
      </c>
      <c r="T17" s="6">
        <f t="shared" si="12"/>
        <v>162.0641</v>
      </c>
      <c r="U17" s="6">
        <f t="shared" si="12"/>
        <v>150.52509600000002</v>
      </c>
      <c r="V17" s="6">
        <f t="shared" si="12"/>
        <v>123.84350000000001</v>
      </c>
      <c r="W17" s="67">
        <f t="shared" si="12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13">+SUM(C7:C18)</f>
        <v>118.8728</v>
      </c>
      <c r="Q18" s="6">
        <f t="shared" si="13"/>
        <v>117.61559999999999</v>
      </c>
      <c r="R18" s="6">
        <f t="shared" si="13"/>
        <v>126.38589999999999</v>
      </c>
      <c r="S18" s="6">
        <f t="shared" si="13"/>
        <v>149.899</v>
      </c>
      <c r="T18" s="6">
        <f t="shared" si="13"/>
        <v>163.17930000000001</v>
      </c>
      <c r="U18" s="6">
        <f t="shared" si="13"/>
        <v>147.99829600000001</v>
      </c>
      <c r="V18" s="6">
        <f t="shared" si="13"/>
        <v>124.2008</v>
      </c>
      <c r="W18" s="67">
        <f t="shared" si="13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14">SUM(C7:C18)</f>
        <v>118.8728</v>
      </c>
      <c r="D19" s="159">
        <f t="shared" si="14"/>
        <v>117.61559999999999</v>
      </c>
      <c r="E19" s="159">
        <f t="shared" si="14"/>
        <v>126.38589999999999</v>
      </c>
      <c r="F19" s="159">
        <f t="shared" si="14"/>
        <v>149.899</v>
      </c>
      <c r="G19" s="159">
        <f t="shared" si="14"/>
        <v>163.17930000000001</v>
      </c>
      <c r="H19" s="159">
        <f t="shared" ref="H19:I19" si="15">SUM(H7:H18)</f>
        <v>147.99829600000001</v>
      </c>
      <c r="I19" s="159">
        <f t="shared" si="15"/>
        <v>124.2008</v>
      </c>
      <c r="J19" s="216">
        <f t="shared" ref="J19" si="16">SUM(J7:J18)</f>
        <v>128.5752</v>
      </c>
      <c r="K19" s="216"/>
      <c r="L19" s="56"/>
      <c r="M19" s="3"/>
      <c r="N19" s="43" t="s">
        <v>14</v>
      </c>
      <c r="O19" s="46">
        <f t="shared" ref="O19" si="17">+AVERAGE(O7:O18)</f>
        <v>125.02654266666667</v>
      </c>
      <c r="P19" s="46">
        <f>+AVERAGE(P7:P18)</f>
        <v>124.55713825000002</v>
      </c>
      <c r="Q19" s="46">
        <f t="shared" ref="Q19:T19" si="18">+AVERAGE(Q7:Q18)</f>
        <v>117.10108333333335</v>
      </c>
      <c r="R19" s="46">
        <f t="shared" si="18"/>
        <v>122.97904999999999</v>
      </c>
      <c r="S19" s="46">
        <f t="shared" si="18"/>
        <v>136.22014166666668</v>
      </c>
      <c r="T19" s="46">
        <f t="shared" si="18"/>
        <v>159.78534166666668</v>
      </c>
      <c r="U19" s="226">
        <f t="shared" ref="U19:V19" si="19">+AVERAGE(U7:U18)</f>
        <v>157.43510608333335</v>
      </c>
      <c r="V19" s="226">
        <f t="shared" si="19"/>
        <v>133.40852325</v>
      </c>
      <c r="W19" s="220">
        <f t="shared" ref="W19:X19" si="20">+AVERAGE(W7:W18)</f>
        <v>125.79795000000001</v>
      </c>
      <c r="X19" s="220">
        <f t="shared" si="20"/>
        <v>126.5253</v>
      </c>
      <c r="Y19" s="79">
        <f>+X19/W19-1</f>
        <v>5.7818907223845528E-3</v>
      </c>
      <c r="Z19" s="75">
        <f>+POWER(X19/S19,0.2)-1</f>
        <v>-1.4657512821504959E-2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21">+C19/C$163</f>
        <v>0.60672913987056198</v>
      </c>
      <c r="D20" s="58">
        <f t="shared" ref="D20" si="22">+D19/D$163</f>
        <v>0.60678612645788632</v>
      </c>
      <c r="E20" s="58">
        <f t="shared" ref="E20" si="23">+E19/E$163</f>
        <v>0.59470288359556822</v>
      </c>
      <c r="F20" s="58">
        <f t="shared" ref="F20:G20" si="24">+F19/F$163</f>
        <v>0.5777011272762308</v>
      </c>
      <c r="G20" s="58">
        <f t="shared" si="24"/>
        <v>0.60958993152450436</v>
      </c>
      <c r="H20" s="58">
        <f t="shared" ref="H20:I20" si="25">+H19/H$163</f>
        <v>0.64023211276866809</v>
      </c>
      <c r="I20" s="58">
        <f t="shared" si="25"/>
        <v>0.6888758361994709</v>
      </c>
      <c r="J20" s="189">
        <f t="shared" ref="J20" si="26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27">+P19/P$163</f>
        <v>0.60429978588220468</v>
      </c>
      <c r="Q20" s="48">
        <f t="shared" ref="Q20" si="28">+Q19/Q$163</f>
        <v>0.61085081315393253</v>
      </c>
      <c r="R20" s="48">
        <f t="shared" ref="R20" si="29">+R19/R$163</f>
        <v>0.59886383968037615</v>
      </c>
      <c r="S20" s="48">
        <f t="shared" ref="S20:T20" si="30">+S19/S$163</f>
        <v>0.57680737394093384</v>
      </c>
      <c r="T20" s="48">
        <f t="shared" si="30"/>
        <v>0.60118280461954932</v>
      </c>
      <c r="U20" s="58">
        <f t="shared" ref="U20:V20" si="31">+U19/U$163</f>
        <v>0.62198391176329793</v>
      </c>
      <c r="V20" s="58">
        <f t="shared" si="31"/>
        <v>0.66528540345789178</v>
      </c>
      <c r="W20" s="189">
        <f t="shared" ref="W20:X20" si="32">+W19/W$163</f>
        <v>0.70126657887684307</v>
      </c>
      <c r="X20" s="189">
        <f t="shared" si="32"/>
        <v>0.70032234216239542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33">+D19/C19-1</f>
        <v>-1.057601066013425E-2</v>
      </c>
      <c r="E21" s="62">
        <f t="shared" si="33"/>
        <v>7.456748934665125E-2</v>
      </c>
      <c r="F21" s="62">
        <f t="shared" si="33"/>
        <v>0.18604211387504477</v>
      </c>
      <c r="G21" s="62">
        <f t="shared" si="33"/>
        <v>8.8594987291442884E-2</v>
      </c>
      <c r="H21" s="62">
        <f t="shared" si="33"/>
        <v>-9.3032657941295227E-2</v>
      </c>
      <c r="I21" s="62">
        <f t="shared" si="33"/>
        <v>-0.16079574321585433</v>
      </c>
      <c r="J21" s="190">
        <f t="shared" si="33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34">+Q19/P19-1</f>
        <v>-5.9860518806248875E-2</v>
      </c>
      <c r="R21" s="50">
        <f t="shared" si="34"/>
        <v>5.0195664287193242E-2</v>
      </c>
      <c r="S21" s="50">
        <f t="shared" si="34"/>
        <v>0.10766949058938646</v>
      </c>
      <c r="T21" s="50">
        <f t="shared" si="34"/>
        <v>0.17299350677276859</v>
      </c>
      <c r="U21" s="62">
        <f t="shared" si="34"/>
        <v>-1.4708705810050016E-2</v>
      </c>
      <c r="V21" s="62">
        <f t="shared" si="34"/>
        <v>-0.15261261246659708</v>
      </c>
      <c r="W21" s="190">
        <f t="shared" si="34"/>
        <v>-5.7047129108371952E-2</v>
      </c>
      <c r="X21" s="190">
        <f t="shared" si="34"/>
        <v>5.7818907223845528E-3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25" t="s">
        <v>50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51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36">+P24+1</f>
        <v>2018</v>
      </c>
      <c r="R24" s="64">
        <f t="shared" si="36"/>
        <v>2019</v>
      </c>
      <c r="S24" s="64">
        <f t="shared" si="36"/>
        <v>2020</v>
      </c>
      <c r="T24" s="64">
        <f t="shared" si="36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37">+SUM(C25)+SUM(B26:B36)</f>
        <v>19.483249999999998</v>
      </c>
      <c r="Q25" s="6">
        <f t="shared" si="37"/>
        <v>18.381299999999996</v>
      </c>
      <c r="R25" s="6">
        <f t="shared" si="37"/>
        <v>17.383699999999997</v>
      </c>
      <c r="S25" s="6">
        <f t="shared" si="37"/>
        <v>17.6219</v>
      </c>
      <c r="T25" s="6">
        <f t="shared" si="37"/>
        <v>23.005700000000001</v>
      </c>
      <c r="U25" s="6">
        <f t="shared" si="37"/>
        <v>23.508000000000003</v>
      </c>
      <c r="V25" s="6">
        <f t="shared" si="37"/>
        <v>21.193683</v>
      </c>
      <c r="W25" s="67">
        <f t="shared" si="37"/>
        <v>16.364100000000001</v>
      </c>
      <c r="X25" s="37">
        <f t="shared" si="37"/>
        <v>15.814500000000002</v>
      </c>
      <c r="Y25" s="78">
        <f t="shared" ref="Y25:Y26" si="38">+X25/W25-1</f>
        <v>-3.3585715071406175E-2</v>
      </c>
      <c r="Z25" s="7">
        <f t="shared" ref="Z25:Z26" si="39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40">+SUM(C25:C26)+SUM(B27:B36)</f>
        <v>19.370054</v>
      </c>
      <c r="Q26" s="6">
        <f t="shared" si="40"/>
        <v>18.358699999999995</v>
      </c>
      <c r="R26" s="6">
        <f t="shared" si="40"/>
        <v>17.532699999999998</v>
      </c>
      <c r="S26" s="6">
        <f t="shared" si="40"/>
        <v>18.113900000000001</v>
      </c>
      <c r="T26" s="6">
        <f t="shared" si="40"/>
        <v>23.231099999999998</v>
      </c>
      <c r="U26" s="6">
        <f t="shared" si="40"/>
        <v>22.994300000000003</v>
      </c>
      <c r="V26" s="6">
        <f t="shared" si="40"/>
        <v>21.024782999999999</v>
      </c>
      <c r="W26" s="67">
        <f t="shared" si="40"/>
        <v>16.136699999999998</v>
      </c>
      <c r="X26" s="37">
        <f t="shared" si="40"/>
        <v>15.937700000000003</v>
      </c>
      <c r="Y26" s="78">
        <f t="shared" si="38"/>
        <v>-1.2332137301926283E-2</v>
      </c>
      <c r="Z26" s="7">
        <f t="shared" si="39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41">+SUM(C25:C27)+SUM(B28:B36)</f>
        <v>19.621102</v>
      </c>
      <c r="Q27" s="6">
        <f t="shared" si="41"/>
        <v>17.839599999999997</v>
      </c>
      <c r="R27" s="6">
        <f t="shared" si="41"/>
        <v>17.480699999999999</v>
      </c>
      <c r="S27" s="6">
        <f t="shared" si="41"/>
        <v>18.761199999999999</v>
      </c>
      <c r="T27" s="6">
        <f t="shared" si="41"/>
        <v>23.9373</v>
      </c>
      <c r="U27" s="6">
        <f t="shared" si="41"/>
        <v>22.203429999999997</v>
      </c>
      <c r="V27" s="6">
        <f t="shared" si="41"/>
        <v>20.608453000000001</v>
      </c>
      <c r="W27" s="67">
        <f t="shared" si="41"/>
        <v>15.698499999999999</v>
      </c>
      <c r="X27" s="37">
        <f t="shared" ref="X27" si="42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/>
      <c r="L28" s="7"/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43">+SUM(C25:C28)+SUM(B29:B36)</f>
        <v>19.310276999999999</v>
      </c>
      <c r="Q28" s="6">
        <f t="shared" si="43"/>
        <v>17.739699999999999</v>
      </c>
      <c r="R28" s="6">
        <f t="shared" si="43"/>
        <v>17.595499999999998</v>
      </c>
      <c r="S28" s="6">
        <f t="shared" si="43"/>
        <v>19.124000000000002</v>
      </c>
      <c r="T28" s="6">
        <f t="shared" si="43"/>
        <v>24.098199999999999</v>
      </c>
      <c r="U28" s="6">
        <f t="shared" si="43"/>
        <v>22.214309999999998</v>
      </c>
      <c r="V28" s="6">
        <f t="shared" si="43"/>
        <v>19.840672999999999</v>
      </c>
      <c r="W28" s="67">
        <f t="shared" si="43"/>
        <v>16.126099999999997</v>
      </c>
      <c r="X28" s="37"/>
      <c r="Y28" s="78"/>
      <c r="Z28" s="7"/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/>
      <c r="L29" s="7"/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44">+SUM(C25:C29)+SUM(B30:B36)</f>
        <v>19.141981999999999</v>
      </c>
      <c r="Q29" s="6">
        <f t="shared" si="44"/>
        <v>17.530100000000001</v>
      </c>
      <c r="R29" s="6">
        <f t="shared" si="44"/>
        <v>17.684199999999997</v>
      </c>
      <c r="S29" s="6">
        <f t="shared" si="44"/>
        <v>19.197400000000002</v>
      </c>
      <c r="T29" s="6">
        <f t="shared" si="44"/>
        <v>24.543300000000002</v>
      </c>
      <c r="U29" s="6">
        <f t="shared" si="44"/>
        <v>21.917905999999999</v>
      </c>
      <c r="V29" s="6">
        <f t="shared" si="44"/>
        <v>19.574677000000001</v>
      </c>
      <c r="W29" s="67">
        <f t="shared" si="44"/>
        <v>16.274900000000002</v>
      </c>
      <c r="X29" s="37"/>
      <c r="Y29" s="78"/>
      <c r="Z29" s="7"/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/>
      <c r="L30" s="7"/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45">+SUM(C25:C30)+SUM(B31:B36)</f>
        <v>19.567097</v>
      </c>
      <c r="Q30" s="6">
        <f t="shared" si="45"/>
        <v>17.090299999999999</v>
      </c>
      <c r="R30" s="6">
        <f t="shared" si="45"/>
        <v>17.501800000000003</v>
      </c>
      <c r="S30" s="6">
        <f t="shared" si="45"/>
        <v>20.164000000000001</v>
      </c>
      <c r="T30" s="6">
        <f t="shared" si="45"/>
        <v>24.502400000000002</v>
      </c>
      <c r="U30" s="6">
        <f t="shared" si="45"/>
        <v>21.850047</v>
      </c>
      <c r="V30" s="6">
        <f t="shared" si="45"/>
        <v>18.877635999999999</v>
      </c>
      <c r="W30" s="67">
        <f t="shared" si="45"/>
        <v>15.9251</v>
      </c>
      <c r="X30" s="37"/>
      <c r="Y30" s="78"/>
      <c r="Z30" s="7"/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/>
      <c r="L31" s="7"/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46">+SUM(C25:C31)+SUM(B32:B36)</f>
        <v>19.990304000000002</v>
      </c>
      <c r="Q31" s="6">
        <f t="shared" si="46"/>
        <v>17.293199999999999</v>
      </c>
      <c r="R31" s="6">
        <f t="shared" si="46"/>
        <v>17.627600000000001</v>
      </c>
      <c r="S31" s="6">
        <f t="shared" si="46"/>
        <v>19.995699999999999</v>
      </c>
      <c r="T31" s="6">
        <f t="shared" si="46"/>
        <v>24.645499999999998</v>
      </c>
      <c r="U31" s="6">
        <f t="shared" si="46"/>
        <v>21.824426000000003</v>
      </c>
      <c r="V31" s="6">
        <f t="shared" si="46"/>
        <v>18.834157000000001</v>
      </c>
      <c r="W31" s="67">
        <f t="shared" si="46"/>
        <v>15.939200000000001</v>
      </c>
      <c r="X31" s="37"/>
      <c r="Y31" s="78"/>
      <c r="Z31" s="7"/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/>
      <c r="L32" s="7"/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47">+SUM(C25:C32)+SUM(B33:B36)</f>
        <v>19.549650999999997</v>
      </c>
      <c r="Q32" s="6">
        <f t="shared" si="47"/>
        <v>17.248499999999996</v>
      </c>
      <c r="R32" s="6">
        <f t="shared" si="47"/>
        <v>17.335800000000003</v>
      </c>
      <c r="S32" s="6">
        <f t="shared" si="47"/>
        <v>20.553400000000003</v>
      </c>
      <c r="T32" s="6">
        <f t="shared" si="47"/>
        <v>24.557499999999997</v>
      </c>
      <c r="U32" s="6">
        <f t="shared" si="47"/>
        <v>21.939644000000001</v>
      </c>
      <c r="V32" s="6">
        <f t="shared" si="47"/>
        <v>18.374439000000002</v>
      </c>
      <c r="W32" s="67">
        <f t="shared" si="47"/>
        <v>15.707300000000002</v>
      </c>
      <c r="X32" s="37"/>
      <c r="Y32" s="78"/>
      <c r="Z32" s="7"/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/>
      <c r="L33" s="7"/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48">+SUM(C25:C33)+SUM(B34:B36)</f>
        <v>19.043455999999999</v>
      </c>
      <c r="Q33" s="6">
        <f t="shared" si="48"/>
        <v>17.265599999999999</v>
      </c>
      <c r="R33" s="6">
        <f t="shared" si="48"/>
        <v>17.345400000000001</v>
      </c>
      <c r="S33" s="6">
        <f t="shared" si="48"/>
        <v>21.491300000000003</v>
      </c>
      <c r="T33" s="6">
        <f t="shared" si="48"/>
        <v>24.310699999999997</v>
      </c>
      <c r="U33" s="6">
        <f t="shared" si="48"/>
        <v>21.531632000000002</v>
      </c>
      <c r="V33" s="6">
        <f t="shared" si="48"/>
        <v>18.157750999999998</v>
      </c>
      <c r="W33" s="67">
        <f t="shared" si="48"/>
        <v>15.752400000000002</v>
      </c>
      <c r="X33" s="37"/>
      <c r="Y33" s="78"/>
      <c r="Z33" s="7"/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/>
      <c r="L34" s="7"/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49">+SUM(C25:C34)+SUM(B35:B36)</f>
        <v>18.916499999999999</v>
      </c>
      <c r="Q34" s="6">
        <f t="shared" si="49"/>
        <v>17.233699999999999</v>
      </c>
      <c r="R34" s="6">
        <f t="shared" si="49"/>
        <v>17.354700000000001</v>
      </c>
      <c r="S34" s="6">
        <f t="shared" si="49"/>
        <v>22.023900000000005</v>
      </c>
      <c r="T34" s="6">
        <f t="shared" si="49"/>
        <v>23.765699999999995</v>
      </c>
      <c r="U34" s="6">
        <f t="shared" si="49"/>
        <v>21.762983000000002</v>
      </c>
      <c r="V34" s="6">
        <f t="shared" si="49"/>
        <v>17.505699999999997</v>
      </c>
      <c r="W34" s="67">
        <f t="shared" si="49"/>
        <v>16.075000000000003</v>
      </c>
      <c r="X34" s="37"/>
      <c r="Y34" s="78"/>
      <c r="Z34" s="7"/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50">+SUM(C25:C35)+SUM(B36)</f>
        <v>18.8522</v>
      </c>
      <c r="Q35" s="6">
        <f t="shared" si="50"/>
        <v>17.152099999999997</v>
      </c>
      <c r="R35" s="6">
        <f t="shared" si="50"/>
        <v>17.309000000000001</v>
      </c>
      <c r="S35" s="6">
        <f t="shared" si="50"/>
        <v>23.017400000000002</v>
      </c>
      <c r="T35" s="6">
        <f t="shared" si="50"/>
        <v>23.542199999999998</v>
      </c>
      <c r="U35" s="6">
        <f t="shared" si="50"/>
        <v>21.207583</v>
      </c>
      <c r="V35" s="6">
        <f t="shared" si="50"/>
        <v>17.1053</v>
      </c>
      <c r="W35" s="67">
        <f t="shared" si="50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51">+SUM(C25:C36)</f>
        <v>18.6858</v>
      </c>
      <c r="Q36" s="6">
        <f t="shared" si="51"/>
        <v>17.256799999999998</v>
      </c>
      <c r="R36" s="6">
        <f t="shared" si="51"/>
        <v>17.327900000000003</v>
      </c>
      <c r="S36" s="6">
        <f t="shared" si="51"/>
        <v>22.973400000000002</v>
      </c>
      <c r="T36" s="6">
        <f t="shared" si="51"/>
        <v>23.892599999999998</v>
      </c>
      <c r="U36" s="6">
        <f t="shared" si="51"/>
        <v>21.001882999999999</v>
      </c>
      <c r="V36" s="6">
        <f t="shared" si="51"/>
        <v>16.873899999999999</v>
      </c>
      <c r="W36" s="67">
        <f t="shared" si="51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52">SUM(G25:G36)</f>
        <v>23.892599999999998</v>
      </c>
      <c r="H37" s="159">
        <f t="shared" si="52"/>
        <v>21.001882999999999</v>
      </c>
      <c r="I37" s="159">
        <f t="shared" ref="I37" si="53">SUM(I25:I36)</f>
        <v>16.873899999999999</v>
      </c>
      <c r="J37" s="216">
        <f t="shared" ref="J37" si="54">SUM(J25:J36)</f>
        <v>15.973400000000002</v>
      </c>
      <c r="K37" s="216"/>
      <c r="L37" s="56"/>
      <c r="M37" s="3"/>
      <c r="N37" s="43" t="s">
        <v>14</v>
      </c>
      <c r="O37" s="46">
        <f t="shared" ref="O37:W37" si="55">+AVERAGE(O25:O36)</f>
        <v>22.626516833333337</v>
      </c>
      <c r="P37" s="46">
        <f t="shared" si="55"/>
        <v>19.294306083333336</v>
      </c>
      <c r="Q37" s="46">
        <f t="shared" si="55"/>
        <v>17.532466666666668</v>
      </c>
      <c r="R37" s="46">
        <f t="shared" si="55"/>
        <v>17.456583333333334</v>
      </c>
      <c r="S37" s="46">
        <f t="shared" si="55"/>
        <v>20.253125000000001</v>
      </c>
      <c r="T37" s="46">
        <f t="shared" si="55"/>
        <v>24.002683333333334</v>
      </c>
      <c r="U37" s="226">
        <f t="shared" si="55"/>
        <v>21.996345333333334</v>
      </c>
      <c r="V37" s="226">
        <f t="shared" si="55"/>
        <v>18.997595999999998</v>
      </c>
      <c r="W37" s="220">
        <f t="shared" si="55"/>
        <v>16.005549999999999</v>
      </c>
      <c r="X37" s="220">
        <f t="shared" ref="X37" si="56">+AVERAGE(X25:X36)</f>
        <v>16.038200000000003</v>
      </c>
      <c r="Y37" s="79">
        <f>+X37/W37-1</f>
        <v>2.0399174036509482E-3</v>
      </c>
      <c r="Z37" s="75">
        <f>+POWER(X37/S37,0.2)-1</f>
        <v>-4.5594976970394274E-2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57">+C37/C$163</f>
        <v>9.5372695535003368E-2</v>
      </c>
      <c r="D38" s="58">
        <f t="shared" ref="D38" si="58">+D37/D$163</f>
        <v>8.9028894356347726E-2</v>
      </c>
      <c r="E38" s="58">
        <f t="shared" ref="E38" si="59">+E37/E$163</f>
        <v>8.1535615101491932E-2</v>
      </c>
      <c r="F38" s="58">
        <f t="shared" ref="F38:G38" si="60">+F37/F$163</f>
        <v>8.8538009442142782E-2</v>
      </c>
      <c r="G38" s="58">
        <f t="shared" si="60"/>
        <v>8.9255735243026366E-2</v>
      </c>
      <c r="H38" s="58">
        <f t="shared" ref="H38" si="61">+H37/H$163</f>
        <v>9.085293742307933E-2</v>
      </c>
      <c r="I38" s="58">
        <f t="shared" ref="I38" si="62">+I37/I$163</f>
        <v>9.3590556360717905E-2</v>
      </c>
      <c r="J38" s="189">
        <f t="shared" ref="J38" si="63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64">+P37/P$163</f>
        <v>9.3608003513231425E-2</v>
      </c>
      <c r="Q38" s="48">
        <f t="shared" ref="Q38" si="65">+Q37/Q$163</f>
        <v>9.1457066109643589E-2</v>
      </c>
      <c r="R38" s="48">
        <f t="shared" ref="R38" si="66">+R37/R$163</f>
        <v>8.5007296142720748E-2</v>
      </c>
      <c r="S38" s="48">
        <f t="shared" ref="S38:W38" si="67">+S37/S$163</f>
        <v>8.5759357628139368E-2</v>
      </c>
      <c r="T38" s="48">
        <f t="shared" si="67"/>
        <v>9.0308662448093227E-2</v>
      </c>
      <c r="U38" s="58">
        <f t="shared" si="67"/>
        <v>8.6901665424490668E-2</v>
      </c>
      <c r="V38" s="58">
        <f t="shared" si="67"/>
        <v>9.4737749970484217E-2</v>
      </c>
      <c r="W38" s="189">
        <f t="shared" si="67"/>
        <v>8.9223689984950103E-2</v>
      </c>
      <c r="X38" s="189">
        <f t="shared" ref="X38" si="68">+X37/X$163</f>
        <v>8.8772046286939701E-2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69">+D37/C37-1</f>
        <v>-7.647518436459777E-2</v>
      </c>
      <c r="E39" s="62">
        <f t="shared" si="69"/>
        <v>4.1201149691718619E-3</v>
      </c>
      <c r="F39" s="62">
        <f t="shared" si="69"/>
        <v>0.32580405011570912</v>
      </c>
      <c r="G39" s="62">
        <f t="shared" si="69"/>
        <v>4.0011491551098066E-2</v>
      </c>
      <c r="H39" s="62">
        <f t="shared" si="69"/>
        <v>-0.12098796280019752</v>
      </c>
      <c r="I39" s="62">
        <f t="shared" si="69"/>
        <v>-0.19655299479575239</v>
      </c>
      <c r="J39" s="190">
        <f t="shared" si="69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70">+Q37/P37-1</f>
        <v>-9.1313955995990237E-2</v>
      </c>
      <c r="R39" s="50">
        <f t="shared" si="70"/>
        <v>-4.3281607075634776E-3</v>
      </c>
      <c r="S39" s="50">
        <f t="shared" si="70"/>
        <v>0.16019982909981434</v>
      </c>
      <c r="T39" s="50">
        <f t="shared" ref="T39" si="71">+T37/S37-1</f>
        <v>0.18513480429974805</v>
      </c>
      <c r="U39" s="62">
        <f t="shared" ref="U39" si="72">+U37/T37-1</f>
        <v>-8.3588071055944457E-2</v>
      </c>
      <c r="V39" s="62">
        <f t="shared" ref="V39" si="73">+V37/U37-1</f>
        <v>-0.13632943508979289</v>
      </c>
      <c r="W39" s="190">
        <f t="shared" ref="W39:X39" si="74">+W37/V37-1</f>
        <v>-0.15749603265592127</v>
      </c>
      <c r="X39" s="190">
        <f t="shared" si="74"/>
        <v>2.0399174036509482E-3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25" t="s">
        <v>52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M41" s="2"/>
      <c r="N41" s="325" t="s">
        <v>53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76">+P42+1</f>
        <v>2018</v>
      </c>
      <c r="R42" s="64">
        <f t="shared" si="76"/>
        <v>2019</v>
      </c>
      <c r="S42" s="64">
        <f t="shared" si="76"/>
        <v>2020</v>
      </c>
      <c r="T42" s="64">
        <f t="shared" si="76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77">+SUM(C43)+SUM(B44:B54)</f>
        <v>2.481122</v>
      </c>
      <c r="Q43" s="6">
        <f t="shared" si="77"/>
        <v>2.1335000000000002</v>
      </c>
      <c r="R43" s="6">
        <f t="shared" si="77"/>
        <v>4.5867000000000004</v>
      </c>
      <c r="S43" s="6">
        <f t="shared" si="77"/>
        <v>16.324200000000001</v>
      </c>
      <c r="T43" s="6">
        <f t="shared" si="77"/>
        <v>6.9447999999999999</v>
      </c>
      <c r="U43" s="6">
        <f t="shared" si="77"/>
        <v>5.1324000000000005</v>
      </c>
      <c r="V43" s="6">
        <f t="shared" si="77"/>
        <v>3.2264909999999998</v>
      </c>
      <c r="W43" s="67">
        <f t="shared" si="77"/>
        <v>1.8861999999999999</v>
      </c>
      <c r="X43" s="37">
        <f t="shared" si="77"/>
        <v>1.5899000000000001</v>
      </c>
      <c r="Y43" s="78">
        <f t="shared" ref="Y43:Y44" si="78">+X43/W43-1</f>
        <v>-0.15708832573428044</v>
      </c>
      <c r="Z43" s="7">
        <f t="shared" ref="Z43:Z44" si="79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80">+SUM(C43:C44)+SUM(B45:B54)</f>
        <v>2.4327500000000004</v>
      </c>
      <c r="Q44" s="6">
        <f t="shared" si="80"/>
        <v>2.1303000000000001</v>
      </c>
      <c r="R44" s="6">
        <f t="shared" si="80"/>
        <v>5.6326999999999998</v>
      </c>
      <c r="S44" s="6">
        <f t="shared" si="80"/>
        <v>15.702299999999999</v>
      </c>
      <c r="T44" s="6">
        <f t="shared" si="80"/>
        <v>6.7985000000000007</v>
      </c>
      <c r="U44" s="6">
        <f t="shared" si="80"/>
        <v>5.0223999999999993</v>
      </c>
      <c r="V44" s="6">
        <f t="shared" si="80"/>
        <v>3.004591</v>
      </c>
      <c r="W44" s="67">
        <f t="shared" si="80"/>
        <v>1.903</v>
      </c>
      <c r="X44" s="37">
        <f t="shared" si="80"/>
        <v>1.5487</v>
      </c>
      <c r="Y44" s="78">
        <f t="shared" si="78"/>
        <v>-0.18617971623751972</v>
      </c>
      <c r="Z44" s="7">
        <f t="shared" si="79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81">+SUM(C43:C45)+SUM(B46:B54)</f>
        <v>2.5460250000000002</v>
      </c>
      <c r="Q45" s="6">
        <f t="shared" si="81"/>
        <v>1.9967000000000001</v>
      </c>
      <c r="R45" s="6">
        <f t="shared" si="81"/>
        <v>6.6563999999999997</v>
      </c>
      <c r="S45" s="6">
        <f t="shared" si="81"/>
        <v>14.879199999999999</v>
      </c>
      <c r="T45" s="6">
        <f t="shared" si="81"/>
        <v>7.1509999999999998</v>
      </c>
      <c r="U45" s="6">
        <f t="shared" si="81"/>
        <v>4.7885899999999992</v>
      </c>
      <c r="V45" s="6">
        <f t="shared" si="81"/>
        <v>2.7719010000000002</v>
      </c>
      <c r="W45" s="67">
        <f t="shared" si="81"/>
        <v>1.7323999999999999</v>
      </c>
      <c r="X45" s="37">
        <f t="shared" ref="X45" si="82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/>
      <c r="L46" s="7"/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83">+SUM(C43:C46)+SUM(B47:B54)</f>
        <v>2.3623339999999997</v>
      </c>
      <c r="Q46" s="6">
        <f t="shared" si="83"/>
        <v>1.9736000000000002</v>
      </c>
      <c r="R46" s="6">
        <f t="shared" si="83"/>
        <v>7.9449000000000005</v>
      </c>
      <c r="S46" s="6">
        <f t="shared" si="83"/>
        <v>13.9832</v>
      </c>
      <c r="T46" s="6">
        <f t="shared" si="83"/>
        <v>6.9920999999999998</v>
      </c>
      <c r="U46" s="6">
        <f t="shared" si="83"/>
        <v>4.6155099999999996</v>
      </c>
      <c r="V46" s="6">
        <f t="shared" si="83"/>
        <v>2.7094810000000003</v>
      </c>
      <c r="W46" s="67">
        <f t="shared" si="83"/>
        <v>1.7570999999999999</v>
      </c>
      <c r="X46" s="37"/>
      <c r="Y46" s="78"/>
      <c r="Z46" s="7"/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/>
      <c r="L47" s="7"/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84">+SUM(C43:C47)+SUM(B48:B54)</f>
        <v>2.3415330000000001</v>
      </c>
      <c r="Q47" s="6">
        <f t="shared" si="84"/>
        <v>2.0697000000000001</v>
      </c>
      <c r="R47" s="6">
        <f t="shared" si="84"/>
        <v>9.2289999999999992</v>
      </c>
      <c r="S47" s="6">
        <f t="shared" si="84"/>
        <v>13.276699999999998</v>
      </c>
      <c r="T47" s="6">
        <f t="shared" si="84"/>
        <v>6.8674999999999997</v>
      </c>
      <c r="U47" s="6">
        <f t="shared" si="84"/>
        <v>4.1206230000000001</v>
      </c>
      <c r="V47" s="6">
        <f t="shared" si="84"/>
        <v>2.6759680000000001</v>
      </c>
      <c r="W47" s="67">
        <f t="shared" si="84"/>
        <v>1.7228999999999999</v>
      </c>
      <c r="X47" s="37"/>
      <c r="Y47" s="78"/>
      <c r="Z47" s="7"/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/>
      <c r="L48" s="7"/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85">+SUM(C43:C48)+SUM(B49:B54)</f>
        <v>2.2260469999999999</v>
      </c>
      <c r="Q48" s="6">
        <f t="shared" si="85"/>
        <v>2.1151</v>
      </c>
      <c r="R48" s="6">
        <f t="shared" si="85"/>
        <v>10.2332</v>
      </c>
      <c r="S48" s="6">
        <f t="shared" si="85"/>
        <v>12.869499999999999</v>
      </c>
      <c r="T48" s="6">
        <f t="shared" si="85"/>
        <v>6.3790999999999993</v>
      </c>
      <c r="U48" s="6">
        <f t="shared" si="85"/>
        <v>4.431514</v>
      </c>
      <c r="V48" s="6">
        <f t="shared" si="85"/>
        <v>2.1897769999999999</v>
      </c>
      <c r="W48" s="67">
        <f t="shared" si="85"/>
        <v>1.6742999999999999</v>
      </c>
      <c r="X48" s="37"/>
      <c r="Y48" s="78"/>
      <c r="Z48" s="7"/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/>
      <c r="L49" s="7"/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86">+SUM(C43:C49)+SUM(B50:B54)</f>
        <v>2.2387779999999999</v>
      </c>
      <c r="Q49" s="6">
        <f t="shared" si="86"/>
        <v>2.0902000000000003</v>
      </c>
      <c r="R49" s="6">
        <f t="shared" si="86"/>
        <v>12.135300000000001</v>
      </c>
      <c r="S49" s="6">
        <f t="shared" si="86"/>
        <v>11.398699999999998</v>
      </c>
      <c r="T49" s="6">
        <f t="shared" si="86"/>
        <v>6.1580999999999992</v>
      </c>
      <c r="U49" s="6">
        <f t="shared" si="86"/>
        <v>4.2267790000000005</v>
      </c>
      <c r="V49" s="6">
        <f t="shared" si="86"/>
        <v>2.291512</v>
      </c>
      <c r="W49" s="67">
        <f t="shared" si="86"/>
        <v>1.6080999999999999</v>
      </c>
      <c r="X49" s="37"/>
      <c r="Y49" s="78"/>
      <c r="Z49" s="7"/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/>
      <c r="L50" s="7"/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87">+SUM(C43:C50)+SUM(B51:B54)</f>
        <v>2.2970479999999998</v>
      </c>
      <c r="Q50" s="6">
        <f t="shared" si="87"/>
        <v>2.3483999999999998</v>
      </c>
      <c r="R50" s="6">
        <f t="shared" si="87"/>
        <v>13.383500000000002</v>
      </c>
      <c r="S50" s="6">
        <f t="shared" si="87"/>
        <v>10.426399999999999</v>
      </c>
      <c r="T50" s="6">
        <f t="shared" si="87"/>
        <v>5.7363999999999997</v>
      </c>
      <c r="U50" s="6">
        <f t="shared" si="87"/>
        <v>4.1299700000000001</v>
      </c>
      <c r="V50" s="6">
        <f t="shared" si="87"/>
        <v>2.333021</v>
      </c>
      <c r="W50" s="67">
        <f t="shared" si="87"/>
        <v>1.4312</v>
      </c>
      <c r="X50" s="37"/>
      <c r="Y50" s="78"/>
      <c r="Z50" s="7"/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/>
      <c r="L51" s="7"/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88">+SUM(C43:C51)+SUM(B52:B54)</f>
        <v>2.3058589999999999</v>
      </c>
      <c r="Q51" s="6">
        <f t="shared" si="88"/>
        <v>2.3856999999999999</v>
      </c>
      <c r="R51" s="6">
        <f t="shared" si="88"/>
        <v>14.5639</v>
      </c>
      <c r="S51" s="6">
        <f t="shared" si="88"/>
        <v>9.4253999999999998</v>
      </c>
      <c r="T51" s="6">
        <f t="shared" si="88"/>
        <v>5.5993999999999993</v>
      </c>
      <c r="U51" s="6">
        <f t="shared" si="88"/>
        <v>4.0444499999999994</v>
      </c>
      <c r="V51" s="6">
        <f t="shared" si="88"/>
        <v>2.2678409999999998</v>
      </c>
      <c r="W51" s="67">
        <f t="shared" si="88"/>
        <v>1.4561000000000002</v>
      </c>
      <c r="X51" s="37"/>
      <c r="Y51" s="78"/>
      <c r="Z51" s="7"/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/>
      <c r="L52" s="7"/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89">+SUM(C43:C52)+SUM(B53:B54)</f>
        <v>2.1646000000000001</v>
      </c>
      <c r="Q52" s="6">
        <f t="shared" si="89"/>
        <v>2.6837999999999997</v>
      </c>
      <c r="R52" s="6">
        <f t="shared" si="89"/>
        <v>15.650900000000002</v>
      </c>
      <c r="S52" s="6">
        <f t="shared" si="89"/>
        <v>8.5251000000000001</v>
      </c>
      <c r="T52" s="6">
        <f t="shared" si="89"/>
        <v>5.3623999999999992</v>
      </c>
      <c r="U52" s="6">
        <f t="shared" si="89"/>
        <v>3.8186910000000003</v>
      </c>
      <c r="V52" s="6">
        <f t="shared" si="89"/>
        <v>2.2124999999999999</v>
      </c>
      <c r="W52" s="67">
        <f t="shared" si="89"/>
        <v>1.5076000000000001</v>
      </c>
      <c r="X52" s="37"/>
      <c r="Y52" s="78"/>
      <c r="Z52" s="7"/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90">+SUM(C43:C53)+SUM(B54)</f>
        <v>2.1669999999999998</v>
      </c>
      <c r="Q53" s="6">
        <f t="shared" si="90"/>
        <v>2.8003999999999998</v>
      </c>
      <c r="R53" s="6">
        <f t="shared" si="90"/>
        <v>16.636900000000001</v>
      </c>
      <c r="S53" s="6">
        <f t="shared" si="90"/>
        <v>7.7007999999999992</v>
      </c>
      <c r="T53" s="6">
        <f t="shared" si="90"/>
        <v>5.3117999999999999</v>
      </c>
      <c r="U53" s="6">
        <f t="shared" si="90"/>
        <v>3.7129909999999997</v>
      </c>
      <c r="V53" s="6">
        <f t="shared" si="90"/>
        <v>2.0897999999999999</v>
      </c>
      <c r="W53" s="67">
        <f t="shared" si="90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91">+SUM(C43:C54)</f>
        <v>2.0907999999999998</v>
      </c>
      <c r="Q54" s="6">
        <f t="shared" si="91"/>
        <v>3.3881999999999999</v>
      </c>
      <c r="R54" s="6">
        <f t="shared" si="91"/>
        <v>17.327900000000003</v>
      </c>
      <c r="S54" s="6">
        <f t="shared" si="91"/>
        <v>6.9528999999999996</v>
      </c>
      <c r="T54" s="6">
        <f t="shared" si="91"/>
        <v>5.3048999999999999</v>
      </c>
      <c r="U54" s="6">
        <f t="shared" si="91"/>
        <v>3.3147909999999996</v>
      </c>
      <c r="V54" s="6">
        <f t="shared" si="91"/>
        <v>1.9229999999999998</v>
      </c>
      <c r="W54" s="67">
        <f t="shared" si="91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92">SUM(C43:C54)</f>
        <v>2.0907999999999998</v>
      </c>
      <c r="D55" s="159">
        <f t="shared" si="92"/>
        <v>3.3881999999999999</v>
      </c>
      <c r="E55" s="159">
        <f t="shared" si="92"/>
        <v>17.327900000000003</v>
      </c>
      <c r="F55" s="159">
        <f t="shared" si="92"/>
        <v>6.9528999999999996</v>
      </c>
      <c r="G55" s="159">
        <f t="shared" si="92"/>
        <v>5.3048999999999999</v>
      </c>
      <c r="H55" s="159">
        <f t="shared" ref="H55" si="93">SUM(H43:H54)</f>
        <v>3.3147909999999996</v>
      </c>
      <c r="I55" s="159">
        <f t="shared" ref="I55:J55" si="94">SUM(I43:I54)</f>
        <v>1.9229999999999998</v>
      </c>
      <c r="J55" s="216">
        <f t="shared" si="94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95">+AVERAGE(Q43:Q54)</f>
        <v>2.3429666666666669</v>
      </c>
      <c r="R55" s="46">
        <f t="shared" si="95"/>
        <v>11.165108333333334</v>
      </c>
      <c r="S55" s="46">
        <f t="shared" si="95"/>
        <v>11.788699999999999</v>
      </c>
      <c r="T55" s="46">
        <f t="shared" si="95"/>
        <v>6.2171666666666674</v>
      </c>
      <c r="U55" s="226">
        <f t="shared" si="95"/>
        <v>4.2798924166666668</v>
      </c>
      <c r="V55" s="226">
        <f t="shared" si="95"/>
        <v>2.4746569166666665</v>
      </c>
      <c r="W55" s="220">
        <f t="shared" si="95"/>
        <v>1.6664750000000002</v>
      </c>
      <c r="X55" s="220">
        <f t="shared" ref="X55" si="96">+AVERAGE(X43:X54)</f>
        <v>1.5561</v>
      </c>
      <c r="Y55" s="79">
        <f>+X55/W55-1</f>
        <v>-6.6232616750926399E-2</v>
      </c>
      <c r="Z55" s="75">
        <f>+POWER(X55/S55,0.2)-1</f>
        <v>-0.33301768715933588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97">+C55/C$163</f>
        <v>1.0671484861476897E-2</v>
      </c>
      <c r="D56" s="58">
        <f t="shared" si="97"/>
        <v>1.7479932540110415E-2</v>
      </c>
      <c r="E56" s="58">
        <f t="shared" si="97"/>
        <v>8.1535615101491932E-2</v>
      </c>
      <c r="F56" s="58">
        <f t="shared" si="97"/>
        <v>2.6796030446093067E-2</v>
      </c>
      <c r="G56" s="58">
        <f t="shared" si="97"/>
        <v>1.9817548106557285E-2</v>
      </c>
      <c r="H56" s="58">
        <f t="shared" ref="H56" si="98">+H55/H$163</f>
        <v>1.4339595135045107E-2</v>
      </c>
      <c r="I56" s="58">
        <f t="shared" ref="I56:J56" si="99">+I55/I$163</f>
        <v>1.0665859100839789E-2</v>
      </c>
      <c r="J56" s="189">
        <f t="shared" si="99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00">+P55/P$163</f>
        <v>1.1180440068441677E-2</v>
      </c>
      <c r="Q56" s="48">
        <f t="shared" si="100"/>
        <v>1.2221945799185393E-2</v>
      </c>
      <c r="R56" s="48">
        <f t="shared" si="100"/>
        <v>5.4370070731131578E-2</v>
      </c>
      <c r="S56" s="48">
        <f t="shared" si="100"/>
        <v>4.9917794872191147E-2</v>
      </c>
      <c r="T56" s="48">
        <f t="shared" si="100"/>
        <v>2.3391718254425872E-2</v>
      </c>
      <c r="U56" s="58">
        <f t="shared" si="100"/>
        <v>1.6908707933511024E-2</v>
      </c>
      <c r="V56" s="58">
        <f t="shared" si="100"/>
        <v>1.2340689223725785E-2</v>
      </c>
      <c r="W56" s="189">
        <f t="shared" si="100"/>
        <v>9.2898431336423757E-3</v>
      </c>
      <c r="X56" s="189">
        <f t="shared" ref="X56" si="101">+X55/X$163</f>
        <v>8.6130726158238982E-3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02">+D55/C55-1</f>
        <v>0.62052802754926351</v>
      </c>
      <c r="E57" s="62">
        <f t="shared" si="102"/>
        <v>4.1141904255947122</v>
      </c>
      <c r="F57" s="62">
        <f t="shared" si="102"/>
        <v>-0.59874537595438582</v>
      </c>
      <c r="G57" s="62">
        <f t="shared" si="102"/>
        <v>-0.23702340030778524</v>
      </c>
      <c r="H57" s="62">
        <f t="shared" si="102"/>
        <v>-0.37514543158212221</v>
      </c>
      <c r="I57" s="62">
        <f t="shared" si="102"/>
        <v>-0.41987292713175584</v>
      </c>
      <c r="J57" s="190">
        <f t="shared" si="102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03">+Q55/P55-1</f>
        <v>1.6695803007287013E-2</v>
      </c>
      <c r="R57" s="50">
        <f t="shared" si="103"/>
        <v>3.7653722488582853</v>
      </c>
      <c r="S57" s="50">
        <f t="shared" si="103"/>
        <v>5.5851824097840286E-2</v>
      </c>
      <c r="T57" s="50">
        <f t="shared" ref="T57" si="104">+T55/S55-1</f>
        <v>-0.47261643212002447</v>
      </c>
      <c r="U57" s="62">
        <f t="shared" ref="U57" si="105">+U55/T55-1</f>
        <v>-0.31160082299010805</v>
      </c>
      <c r="V57" s="62">
        <f t="shared" ref="V57" si="106">+V55/U55-1</f>
        <v>-0.42179459767962635</v>
      </c>
      <c r="W57" s="190">
        <f t="shared" ref="W57:X57" si="107">+W55/V55-1</f>
        <v>-0.32658341898774312</v>
      </c>
      <c r="X57" s="190">
        <f t="shared" si="107"/>
        <v>-6.6232616750926399E-2</v>
      </c>
      <c r="Y57" s="73"/>
      <c r="Z57" s="52"/>
    </row>
    <row r="58" spans="1:26" ht="15.75" thickBot="1" x14ac:dyDescent="0.3"/>
    <row r="59" spans="1:26" ht="15.75" thickBot="1" x14ac:dyDescent="0.3">
      <c r="A59" s="325" t="s">
        <v>54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7"/>
      <c r="M59" s="2"/>
      <c r="N59" s="325" t="s">
        <v>55</v>
      </c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7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08">+C60+1</f>
        <v>2018</v>
      </c>
      <c r="E60" s="39">
        <f t="shared" si="108"/>
        <v>2019</v>
      </c>
      <c r="F60" s="39">
        <f t="shared" si="108"/>
        <v>2020</v>
      </c>
      <c r="G60" s="39">
        <f t="shared" si="108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09">+P60+1</f>
        <v>2018</v>
      </c>
      <c r="R60" s="64">
        <f t="shared" si="109"/>
        <v>2019</v>
      </c>
      <c r="S60" s="64">
        <f t="shared" si="109"/>
        <v>2020</v>
      </c>
      <c r="T60" s="64">
        <f t="shared" si="109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10">+SUM(C61)+SUM(B62:B72)</f>
        <v>3.9852229999999995</v>
      </c>
      <c r="Q61" s="6">
        <f t="shared" si="110"/>
        <v>3.7847039999999992</v>
      </c>
      <c r="R61" s="6">
        <f t="shared" si="110"/>
        <v>4.0251000000000001</v>
      </c>
      <c r="S61" s="6">
        <f t="shared" si="110"/>
        <v>6.5857000000000001</v>
      </c>
      <c r="T61" s="6">
        <f t="shared" si="110"/>
        <v>8.4357000000000006</v>
      </c>
      <c r="U61" s="6">
        <f t="shared" si="110"/>
        <v>5.3573999999999993</v>
      </c>
      <c r="V61" s="6">
        <f t="shared" si="110"/>
        <v>2.0381209999999998</v>
      </c>
      <c r="W61" s="67">
        <f t="shared" si="110"/>
        <v>1.4171000000000002</v>
      </c>
      <c r="X61" s="37">
        <f t="shared" si="110"/>
        <v>1.6525999999999998</v>
      </c>
      <c r="Y61" s="78">
        <f t="shared" ref="Y61:Y62" si="111">+X61/W61-1</f>
        <v>0.1661844612236254</v>
      </c>
      <c r="Z61" s="7">
        <f t="shared" ref="Z61:Z62" si="112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13">+SUM(C61:C62)+SUM(B63:B72)</f>
        <v>3.9852229999999995</v>
      </c>
      <c r="Q62" s="6">
        <f t="shared" si="113"/>
        <v>3.5391959999999996</v>
      </c>
      <c r="R62" s="6">
        <f t="shared" si="113"/>
        <v>4.3720999999999997</v>
      </c>
      <c r="S62" s="6">
        <f t="shared" si="113"/>
        <v>6.4277000000000006</v>
      </c>
      <c r="T62" s="6">
        <f t="shared" si="113"/>
        <v>8.414200000000001</v>
      </c>
      <c r="U62" s="6">
        <f t="shared" si="113"/>
        <v>5.1549999999999994</v>
      </c>
      <c r="V62" s="6">
        <f t="shared" si="113"/>
        <v>1.9509209999999999</v>
      </c>
      <c r="W62" s="67">
        <f t="shared" si="113"/>
        <v>1.4775000000000003</v>
      </c>
      <c r="X62" s="37">
        <f t="shared" si="113"/>
        <v>1.5782000000000003</v>
      </c>
      <c r="Y62" s="78">
        <f t="shared" si="111"/>
        <v>6.8155668358714117E-2</v>
      </c>
      <c r="Z62" s="7">
        <f t="shared" si="112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14">+SUM(C61:C63)+SUM(B64:B72)</f>
        <v>3.9852229999999995</v>
      </c>
      <c r="Q63" s="6">
        <f t="shared" si="114"/>
        <v>3.3065809999999995</v>
      </c>
      <c r="R63" s="6">
        <f t="shared" si="114"/>
        <v>4.6100000000000003</v>
      </c>
      <c r="S63" s="6">
        <f t="shared" si="114"/>
        <v>6.7017000000000007</v>
      </c>
      <c r="T63" s="6">
        <f t="shared" si="114"/>
        <v>8.4060999999999986</v>
      </c>
      <c r="U63" s="6">
        <f t="shared" si="114"/>
        <v>4.5834699999999993</v>
      </c>
      <c r="V63" s="6">
        <f t="shared" si="114"/>
        <v>2.0148509999999997</v>
      </c>
      <c r="W63" s="67">
        <f t="shared" si="114"/>
        <v>1.3985000000000001</v>
      </c>
      <c r="X63" s="37">
        <f t="shared" ref="X63" si="115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/>
      <c r="L64" s="7"/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16">+SUM(C61:C64)+SUM(B65:B72)</f>
        <v>3.9852229999999995</v>
      </c>
      <c r="Q64" s="6">
        <f t="shared" si="116"/>
        <v>3.152107</v>
      </c>
      <c r="R64" s="6">
        <f t="shared" si="116"/>
        <v>5.1858000000000004</v>
      </c>
      <c r="S64" s="6">
        <f t="shared" si="116"/>
        <v>6.7457000000000003</v>
      </c>
      <c r="T64" s="6">
        <f t="shared" si="116"/>
        <v>8.3539999999999992</v>
      </c>
      <c r="U64" s="6">
        <f t="shared" si="116"/>
        <v>3.9785799999999996</v>
      </c>
      <c r="V64" s="6">
        <f t="shared" si="116"/>
        <v>1.977441</v>
      </c>
      <c r="W64" s="67">
        <f t="shared" si="116"/>
        <v>1.4006000000000003</v>
      </c>
      <c r="X64" s="37"/>
      <c r="Y64" s="78"/>
      <c r="Z64" s="7"/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/>
      <c r="L65" s="7"/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17">+SUM(C61:C65)+SUM(B66:B72)</f>
        <v>3.9852229999999995</v>
      </c>
      <c r="Q65" s="6">
        <f t="shared" si="117"/>
        <v>2.9629949999999998</v>
      </c>
      <c r="R65" s="6">
        <f t="shared" si="117"/>
        <v>5.6300000000000008</v>
      </c>
      <c r="S65" s="6">
        <f t="shared" si="117"/>
        <v>7.2048000000000005</v>
      </c>
      <c r="T65" s="6">
        <f t="shared" si="117"/>
        <v>7.7019000000000002</v>
      </c>
      <c r="U65" s="6">
        <f t="shared" si="117"/>
        <v>3.6313740000000001</v>
      </c>
      <c r="V65" s="6">
        <f t="shared" si="117"/>
        <v>2.0422469999999997</v>
      </c>
      <c r="W65" s="67">
        <f t="shared" si="117"/>
        <v>1.3800000000000001</v>
      </c>
      <c r="X65" s="37"/>
      <c r="Y65" s="78"/>
      <c r="Z65" s="7"/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/>
      <c r="L66" s="7"/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18">+SUM(C61:C66)+SUM(B67:B72)</f>
        <v>3.9852230000000004</v>
      </c>
      <c r="Q66" s="6">
        <f t="shared" si="118"/>
        <v>2.8197090000000005</v>
      </c>
      <c r="R66" s="6">
        <f t="shared" si="118"/>
        <v>5.7018000000000004</v>
      </c>
      <c r="S66" s="6">
        <f t="shared" si="118"/>
        <v>7.3005000000000004</v>
      </c>
      <c r="T66" s="6">
        <f t="shared" si="118"/>
        <v>7.8496000000000006</v>
      </c>
      <c r="U66" s="6">
        <f t="shared" si="118"/>
        <v>3.348719</v>
      </c>
      <c r="V66" s="6">
        <f t="shared" si="118"/>
        <v>1.974202</v>
      </c>
      <c r="W66" s="67">
        <f t="shared" si="118"/>
        <v>1.3538000000000001</v>
      </c>
      <c r="X66" s="37"/>
      <c r="Y66" s="78"/>
      <c r="Z66" s="7"/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/>
      <c r="L67" s="7"/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19">+SUM(C61:C67)+SUM(B68:B72)</f>
        <v>3.985223</v>
      </c>
      <c r="Q67" s="6">
        <f t="shared" si="119"/>
        <v>3.0738330000000005</v>
      </c>
      <c r="R67" s="6">
        <f t="shared" si="119"/>
        <v>5.6771000000000011</v>
      </c>
      <c r="S67" s="6">
        <f t="shared" si="119"/>
        <v>7.0601000000000003</v>
      </c>
      <c r="T67" s="6">
        <f t="shared" si="119"/>
        <v>8.2688999999999986</v>
      </c>
      <c r="U67" s="6">
        <f t="shared" si="119"/>
        <v>2.745228</v>
      </c>
      <c r="V67" s="6">
        <f t="shared" si="119"/>
        <v>1.9193929999999999</v>
      </c>
      <c r="W67" s="67">
        <f t="shared" si="119"/>
        <v>1.4073000000000002</v>
      </c>
      <c r="X67" s="37"/>
      <c r="Y67" s="78"/>
      <c r="Z67" s="7"/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/>
      <c r="L68" s="7"/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20">+SUM(C61:C68)+SUM(B69:B72)</f>
        <v>3.985223</v>
      </c>
      <c r="Q68" s="6">
        <f t="shared" si="120"/>
        <v>3.3939280000000003</v>
      </c>
      <c r="R68" s="6">
        <f t="shared" si="120"/>
        <v>5.3083000000000009</v>
      </c>
      <c r="S68" s="6">
        <f t="shared" si="120"/>
        <v>7.9806000000000008</v>
      </c>
      <c r="T68" s="6">
        <f t="shared" si="120"/>
        <v>7.4678000000000004</v>
      </c>
      <c r="U68" s="6">
        <f t="shared" si="120"/>
        <v>2.5839910000000001</v>
      </c>
      <c r="V68" s="6">
        <f t="shared" si="120"/>
        <v>1.7959299999999998</v>
      </c>
      <c r="W68" s="67">
        <f t="shared" si="120"/>
        <v>1.4102000000000001</v>
      </c>
      <c r="X68" s="37"/>
      <c r="Y68" s="78"/>
      <c r="Z68" s="7"/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/>
      <c r="L69" s="7"/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21">+SUM(C61:C69)+SUM(B70:B72)</f>
        <v>3.9852229999999995</v>
      </c>
      <c r="Q69" s="6">
        <f t="shared" si="121"/>
        <v>3.2608350000000002</v>
      </c>
      <c r="R69" s="6">
        <f t="shared" si="121"/>
        <v>5.3323000000000009</v>
      </c>
      <c r="S69" s="6">
        <f t="shared" si="121"/>
        <v>8.1928000000000001</v>
      </c>
      <c r="T69" s="6">
        <f t="shared" si="121"/>
        <v>7.3394000000000004</v>
      </c>
      <c r="U69" s="6">
        <f t="shared" si="121"/>
        <v>2.4318740000000001</v>
      </c>
      <c r="V69" s="6">
        <f t="shared" si="121"/>
        <v>1.7121469999999999</v>
      </c>
      <c r="W69" s="67">
        <f t="shared" si="121"/>
        <v>1.4668999999999999</v>
      </c>
      <c r="X69" s="37"/>
      <c r="Y69" s="78"/>
      <c r="Z69" s="7"/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/>
      <c r="L70" s="7"/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22">+SUM(C61:C70)+SUM(B71:B72)</f>
        <v>3.9852229999999995</v>
      </c>
      <c r="Q70" s="6">
        <f t="shared" si="122"/>
        <v>3.1435999999999997</v>
      </c>
      <c r="R70" s="6">
        <f t="shared" si="122"/>
        <v>5.6563000000000008</v>
      </c>
      <c r="S70" s="6">
        <f t="shared" si="122"/>
        <v>8.3922000000000008</v>
      </c>
      <c r="T70" s="6">
        <f t="shared" si="122"/>
        <v>6.8305000000000007</v>
      </c>
      <c r="U70" s="6">
        <f t="shared" si="122"/>
        <v>2.4956209999999999</v>
      </c>
      <c r="V70" s="6">
        <f t="shared" si="122"/>
        <v>1.5318999999999998</v>
      </c>
      <c r="W70" s="67">
        <f t="shared" si="122"/>
        <v>1.5501999999999998</v>
      </c>
      <c r="X70" s="37"/>
      <c r="Y70" s="78"/>
      <c r="Z70" s="7"/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23">+SUM(C61:C71)+SUM(B72)</f>
        <v>3.9852229999999995</v>
      </c>
      <c r="Q71" s="6">
        <f t="shared" si="123"/>
        <v>3.3700999999999999</v>
      </c>
      <c r="R71" s="6">
        <f t="shared" si="123"/>
        <v>5.6317000000000013</v>
      </c>
      <c r="S71" s="6">
        <f t="shared" si="123"/>
        <v>8.9735999999999994</v>
      </c>
      <c r="T71" s="6">
        <f t="shared" si="123"/>
        <v>6.3930000000000007</v>
      </c>
      <c r="U71" s="6">
        <f t="shared" si="123"/>
        <v>2.1456209999999998</v>
      </c>
      <c r="V71" s="6">
        <f t="shared" si="123"/>
        <v>1.5146999999999999</v>
      </c>
      <c r="W71" s="67">
        <f t="shared" si="123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24">+SUM(C61:C72)</f>
        <v>3.9852229999999995</v>
      </c>
      <c r="Q72" s="6">
        <f t="shared" si="124"/>
        <v>3.7263000000000002</v>
      </c>
      <c r="R72" s="6">
        <f t="shared" si="124"/>
        <v>6.2193000000000014</v>
      </c>
      <c r="S72" s="6">
        <f t="shared" si="124"/>
        <v>8.3954000000000004</v>
      </c>
      <c r="T72" s="6">
        <f t="shared" si="124"/>
        <v>6.0465999999999998</v>
      </c>
      <c r="U72" s="6">
        <f t="shared" si="124"/>
        <v>2.0799209999999997</v>
      </c>
      <c r="V72" s="6">
        <f t="shared" si="124"/>
        <v>1.4610000000000001</v>
      </c>
      <c r="W72" s="67">
        <f t="shared" si="124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25">SUM(C61:C72)</f>
        <v>3.9852229999999995</v>
      </c>
      <c r="D73" s="159">
        <f t="shared" si="125"/>
        <v>3.7263000000000002</v>
      </c>
      <c r="E73" s="159">
        <f t="shared" si="125"/>
        <v>6.2193000000000014</v>
      </c>
      <c r="F73" s="159">
        <f t="shared" si="125"/>
        <v>8.3954000000000004</v>
      </c>
      <c r="G73" s="159">
        <f t="shared" si="125"/>
        <v>6.0465999999999998</v>
      </c>
      <c r="H73" s="159">
        <f t="shared" ref="H73:I73" si="126">SUM(H61:H72)</f>
        <v>2.0799209999999997</v>
      </c>
      <c r="I73" s="159">
        <f t="shared" si="126"/>
        <v>1.4610000000000001</v>
      </c>
      <c r="J73" s="216">
        <f t="shared" ref="J73" si="127">SUM(J61:J72)</f>
        <v>1.6236999999999999</v>
      </c>
      <c r="K73" s="216"/>
      <c r="L73" s="56"/>
      <c r="M73" s="3"/>
      <c r="N73" s="43" t="s">
        <v>14</v>
      </c>
      <c r="O73" s="46">
        <f t="shared" ref="O73" si="128">+AVERAGE(O61:O72)</f>
        <v>4.2732703333333344</v>
      </c>
      <c r="P73" s="46">
        <f>+AVERAGE(P61:P72)</f>
        <v>3.9852229999999995</v>
      </c>
      <c r="Q73" s="46">
        <f t="shared" ref="Q73:W73" si="129">+AVERAGE(Q61:Q72)</f>
        <v>3.2944906666666665</v>
      </c>
      <c r="R73" s="46">
        <f t="shared" si="129"/>
        <v>5.2791500000000013</v>
      </c>
      <c r="S73" s="46">
        <f t="shared" si="129"/>
        <v>7.4967333333333341</v>
      </c>
      <c r="T73" s="46">
        <f t="shared" si="129"/>
        <v>7.6256416666666667</v>
      </c>
      <c r="U73" s="226">
        <f t="shared" si="129"/>
        <v>3.3780665833333328</v>
      </c>
      <c r="V73" s="226">
        <f t="shared" si="129"/>
        <v>1.8277377499999998</v>
      </c>
      <c r="W73" s="220">
        <f t="shared" si="129"/>
        <v>1.4594500000000001</v>
      </c>
      <c r="X73" s="220">
        <f t="shared" ref="X73" si="130">+AVERAGE(X61:X72)</f>
        <v>1.6099333333333334</v>
      </c>
      <c r="Y73" s="79">
        <f>+X73/W73-1</f>
        <v>0.10310961892036952</v>
      </c>
      <c r="Z73" s="75">
        <f>+POWER(X73/S73,0.2)-1</f>
        <v>-0.26483103362651306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31">+C73/C$163</f>
        <v>2.0340657601927273E-2</v>
      </c>
      <c r="D74" s="58">
        <f t="shared" ref="D74" si="132">+D73/D$163</f>
        <v>1.9224211269763723E-2</v>
      </c>
      <c r="E74" s="58">
        <f t="shared" ref="E74" si="133">+E73/E$163</f>
        <v>2.9264622429764069E-2</v>
      </c>
      <c r="F74" s="58">
        <f t="shared" ref="F74:G74" si="134">+F73/F$163</f>
        <v>3.2355332883707483E-2</v>
      </c>
      <c r="G74" s="58">
        <f t="shared" si="134"/>
        <v>2.2588321435108912E-2</v>
      </c>
      <c r="H74" s="58">
        <f t="shared" ref="H74:I74" si="135">+H73/H$163</f>
        <v>8.9976185686754164E-3</v>
      </c>
      <c r="I74" s="58">
        <f t="shared" si="135"/>
        <v>8.1033906117144745E-3</v>
      </c>
      <c r="J74" s="189">
        <f t="shared" ref="J74" si="136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37">+P73/P$163</f>
        <v>1.9334655881055748E-2</v>
      </c>
      <c r="Q74" s="48">
        <f t="shared" ref="Q74" si="138">+Q73/Q$163</f>
        <v>1.718551396260673E-2</v>
      </c>
      <c r="R74" s="48">
        <f t="shared" ref="R74" si="139">+R73/R$163</f>
        <v>2.5707565957361511E-2</v>
      </c>
      <c r="S74" s="48">
        <f t="shared" ref="S74:W74" si="140">+S73/S$163</f>
        <v>3.1743991851930338E-2</v>
      </c>
      <c r="T74" s="48">
        <f t="shared" si="140"/>
        <v>2.8691021318801788E-2</v>
      </c>
      <c r="U74" s="58">
        <f t="shared" si="140"/>
        <v>1.334583575397975E-2</v>
      </c>
      <c r="V74" s="58">
        <f t="shared" si="140"/>
        <v>9.1146143949537295E-3</v>
      </c>
      <c r="W74" s="189">
        <f t="shared" si="140"/>
        <v>8.1357725506799473E-3</v>
      </c>
      <c r="X74" s="189">
        <f t="shared" ref="X74" si="141">+X73/X$163</f>
        <v>8.9110421609378716E-3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142">+D73/C73-1</f>
        <v>-6.4970768260646738E-2</v>
      </c>
      <c r="E75" s="62">
        <f t="shared" si="142"/>
        <v>0.66902825859431636</v>
      </c>
      <c r="F75" s="62">
        <f t="shared" si="142"/>
        <v>0.3498946826813305</v>
      </c>
      <c r="G75" s="62">
        <f t="shared" si="142"/>
        <v>-0.27977225623555768</v>
      </c>
      <c r="H75" s="62">
        <f t="shared" si="142"/>
        <v>-0.65601809281248968</v>
      </c>
      <c r="I75" s="62">
        <f t="shared" si="142"/>
        <v>-0.29756947499448283</v>
      </c>
      <c r="J75" s="190">
        <f t="shared" si="142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143">+Q73/P73-1</f>
        <v>-0.17332338324187457</v>
      </c>
      <c r="R75" s="50">
        <f t="shared" si="143"/>
        <v>0.60241765242012169</v>
      </c>
      <c r="S75" s="50">
        <f t="shared" si="143"/>
        <v>0.42006446744898929</v>
      </c>
      <c r="T75" s="50">
        <f t="shared" ref="T75" si="144">+T73/S73-1</f>
        <v>1.7195267271967296E-2</v>
      </c>
      <c r="U75" s="62">
        <f t="shared" ref="U75" si="145">+U73/T73-1</f>
        <v>-0.55701215307564289</v>
      </c>
      <c r="V75" s="62">
        <f t="shared" ref="V75" si="146">+V73/U73-1</f>
        <v>-0.45893969082265229</v>
      </c>
      <c r="W75" s="190">
        <f t="shared" ref="W75:X75" si="147">+W73/V73-1</f>
        <v>-0.20149923040107898</v>
      </c>
      <c r="X75" s="190">
        <f t="shared" si="147"/>
        <v>0.10310961892036952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25" t="s">
        <v>56</v>
      </c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7"/>
      <c r="M77" s="2"/>
      <c r="N77" s="325" t="s">
        <v>57</v>
      </c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7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148">+C78+1</f>
        <v>2018</v>
      </c>
      <c r="E78" s="39">
        <f t="shared" si="148"/>
        <v>2019</v>
      </c>
      <c r="F78" s="39">
        <f t="shared" si="148"/>
        <v>2020</v>
      </c>
      <c r="G78" s="39">
        <f t="shared" si="148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149">+P78+1</f>
        <v>2018</v>
      </c>
      <c r="R78" s="64">
        <f t="shared" si="149"/>
        <v>2019</v>
      </c>
      <c r="S78" s="64">
        <f t="shared" si="149"/>
        <v>2020</v>
      </c>
      <c r="T78" s="64">
        <f t="shared" si="149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150">+SUM(C79)+SUM(B80:B90)</f>
        <v>3.7664409999999999</v>
      </c>
      <c r="Q79" s="6">
        <f t="shared" si="150"/>
        <v>3.4178000000000002</v>
      </c>
      <c r="R79" s="6">
        <f t="shared" si="150"/>
        <v>3.5640000000000001</v>
      </c>
      <c r="S79" s="6">
        <f t="shared" si="150"/>
        <v>3.3391000000000002</v>
      </c>
      <c r="T79" s="6">
        <f t="shared" si="150"/>
        <v>3.4744999999999999</v>
      </c>
      <c r="U79" s="6">
        <f t="shared" si="150"/>
        <v>4.1128</v>
      </c>
      <c r="V79" s="6">
        <f t="shared" si="150"/>
        <v>4.5341715000000002</v>
      </c>
      <c r="W79" s="67">
        <f t="shared" si="150"/>
        <v>3.1153</v>
      </c>
      <c r="X79" s="37">
        <f t="shared" si="150"/>
        <v>2.8807</v>
      </c>
      <c r="Y79" s="78">
        <f t="shared" ref="Y79:Y80" si="151">+X79/W79-1</f>
        <v>-7.530574904503573E-2</v>
      </c>
      <c r="Z79" s="7">
        <f t="shared" ref="Z79:Z80" si="152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153">+SUM(C79:C80)+SUM(B81:B90)</f>
        <v>3.6515369999999998</v>
      </c>
      <c r="Q80" s="6">
        <f t="shared" si="153"/>
        <v>3.4885000000000002</v>
      </c>
      <c r="R80" s="6">
        <f t="shared" si="153"/>
        <v>3.5672999999999999</v>
      </c>
      <c r="S80" s="6">
        <f t="shared" si="153"/>
        <v>3.3449999999999998</v>
      </c>
      <c r="T80" s="6">
        <f t="shared" si="153"/>
        <v>3.4684999999999997</v>
      </c>
      <c r="U80" s="6">
        <f t="shared" si="153"/>
        <v>4.2285000000000004</v>
      </c>
      <c r="V80" s="6">
        <f t="shared" si="153"/>
        <v>4.4385715000000001</v>
      </c>
      <c r="W80" s="67">
        <f t="shared" si="153"/>
        <v>3.1593</v>
      </c>
      <c r="X80" s="37">
        <f t="shared" si="153"/>
        <v>2.7755999999999998</v>
      </c>
      <c r="Y80" s="78">
        <f t="shared" si="151"/>
        <v>-0.12145095432532527</v>
      </c>
      <c r="Z80" s="7">
        <f t="shared" si="152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154">+SUM(C79:C81)+SUM(B82:B90)</f>
        <v>3.630871</v>
      </c>
      <c r="Q81" s="6">
        <f t="shared" si="154"/>
        <v>3.4964</v>
      </c>
      <c r="R81" s="6">
        <f t="shared" si="154"/>
        <v>3.6815999999999995</v>
      </c>
      <c r="S81" s="6">
        <f t="shared" si="154"/>
        <v>3.2159999999999997</v>
      </c>
      <c r="T81" s="6">
        <f t="shared" si="154"/>
        <v>3.5206999999999997</v>
      </c>
      <c r="U81" s="6">
        <f t="shared" si="154"/>
        <v>4.3283100000000001</v>
      </c>
      <c r="V81" s="6">
        <f t="shared" si="154"/>
        <v>4.3861615</v>
      </c>
      <c r="W81" s="67">
        <f t="shared" si="154"/>
        <v>3.0770999999999997</v>
      </c>
      <c r="X81" s="37">
        <f t="shared" ref="X81" si="155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/>
      <c r="L82" s="7"/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156">+SUM(C79:C82)+SUM(B83:B90)</f>
        <v>3.5307720000000002</v>
      </c>
      <c r="Q82" s="6">
        <f t="shared" si="156"/>
        <v>3.5133999999999999</v>
      </c>
      <c r="R82" s="6">
        <f t="shared" si="156"/>
        <v>3.6462000000000003</v>
      </c>
      <c r="S82" s="6">
        <f t="shared" si="156"/>
        <v>3.2885</v>
      </c>
      <c r="T82" s="6">
        <f t="shared" si="156"/>
        <v>3.4920000000000004</v>
      </c>
      <c r="U82" s="6">
        <f t="shared" si="156"/>
        <v>4.4861795000000004</v>
      </c>
      <c r="V82" s="6">
        <f t="shared" si="156"/>
        <v>4.1495920000000002</v>
      </c>
      <c r="W82" s="67">
        <f t="shared" si="156"/>
        <v>3.1101999999999999</v>
      </c>
      <c r="X82" s="37"/>
      <c r="Y82" s="78"/>
      <c r="Z82" s="7"/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/>
      <c r="L83" s="7"/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157">+SUM(C79:C83)+SUM(B84:B90)</f>
        <v>3.6274579999999998</v>
      </c>
      <c r="Q83" s="6">
        <f t="shared" si="157"/>
        <v>3.3681000000000001</v>
      </c>
      <c r="R83" s="6">
        <f t="shared" si="157"/>
        <v>3.6307999999999998</v>
      </c>
      <c r="S83" s="6">
        <f t="shared" si="157"/>
        <v>3.3915999999999999</v>
      </c>
      <c r="T83" s="6">
        <f t="shared" si="157"/>
        <v>3.4322999999999997</v>
      </c>
      <c r="U83" s="6">
        <f t="shared" si="157"/>
        <v>4.5851185000000001</v>
      </c>
      <c r="V83" s="6">
        <f t="shared" si="157"/>
        <v>4.0167529999999996</v>
      </c>
      <c r="W83" s="67">
        <f t="shared" si="157"/>
        <v>3.0544000000000002</v>
      </c>
      <c r="X83" s="37"/>
      <c r="Y83" s="78"/>
      <c r="Z83" s="7"/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/>
      <c r="L84" s="7"/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158">+SUM(C79:C84)+SUM(B85:B90)</f>
        <v>3.5237530000000001</v>
      </c>
      <c r="Q84" s="6">
        <f t="shared" si="158"/>
        <v>3.4106000000000001</v>
      </c>
      <c r="R84" s="6">
        <f t="shared" si="158"/>
        <v>3.5874000000000001</v>
      </c>
      <c r="S84" s="6">
        <f t="shared" si="158"/>
        <v>3.3781999999999996</v>
      </c>
      <c r="T84" s="6">
        <f t="shared" si="158"/>
        <v>3.6429</v>
      </c>
      <c r="U84" s="6">
        <f t="shared" si="158"/>
        <v>4.6543475000000001</v>
      </c>
      <c r="V84" s="6">
        <f t="shared" si="158"/>
        <v>3.7651240000000001</v>
      </c>
      <c r="W84" s="67">
        <f t="shared" si="158"/>
        <v>2.9888000000000003</v>
      </c>
      <c r="X84" s="37"/>
      <c r="Y84" s="78"/>
      <c r="Z84" s="7"/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/>
      <c r="L85" s="7"/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159">+SUM(C79:C85)+SUM(B86:B90)</f>
        <v>3.6615969999999995</v>
      </c>
      <c r="Q85" s="6">
        <f t="shared" si="159"/>
        <v>3.5990000000000002</v>
      </c>
      <c r="R85" s="6">
        <f t="shared" si="159"/>
        <v>3.2676999999999996</v>
      </c>
      <c r="S85" s="6">
        <f t="shared" si="159"/>
        <v>3.4237000000000002</v>
      </c>
      <c r="T85" s="6">
        <f t="shared" si="159"/>
        <v>3.7654000000000001</v>
      </c>
      <c r="U85" s="6">
        <f t="shared" si="159"/>
        <v>4.5645885000000002</v>
      </c>
      <c r="V85" s="6">
        <f t="shared" si="159"/>
        <v>3.652183</v>
      </c>
      <c r="W85" s="67">
        <f t="shared" si="159"/>
        <v>3.0238000000000005</v>
      </c>
      <c r="X85" s="37"/>
      <c r="Y85" s="78"/>
      <c r="Z85" s="7"/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/>
      <c r="L86" s="7"/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160">+SUM(C79:C86)+SUM(B87:B90)</f>
        <v>3.5896949999999999</v>
      </c>
      <c r="Q86" s="6">
        <f t="shared" si="160"/>
        <v>3.4450000000000003</v>
      </c>
      <c r="R86" s="6">
        <f t="shared" si="160"/>
        <v>3.2652000000000001</v>
      </c>
      <c r="S86" s="6">
        <f t="shared" si="160"/>
        <v>3.5832999999999999</v>
      </c>
      <c r="T86" s="6">
        <f t="shared" si="160"/>
        <v>3.6037000000000003</v>
      </c>
      <c r="U86" s="6">
        <f t="shared" si="160"/>
        <v>4.7542805000000001</v>
      </c>
      <c r="V86" s="6">
        <f t="shared" si="160"/>
        <v>3.4244909999999997</v>
      </c>
      <c r="W86" s="67">
        <f t="shared" si="160"/>
        <v>2.9828000000000001</v>
      </c>
      <c r="X86" s="37"/>
      <c r="Y86" s="78"/>
      <c r="Z86" s="7"/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/>
      <c r="L87" s="7"/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161">+SUM(C79:C87)+SUM(B88:B90)</f>
        <v>3.5717049999999997</v>
      </c>
      <c r="Q87" s="6">
        <f t="shared" si="161"/>
        <v>3.4872000000000001</v>
      </c>
      <c r="R87" s="6">
        <f t="shared" si="161"/>
        <v>3.2286999999999999</v>
      </c>
      <c r="S87" s="6">
        <f t="shared" si="161"/>
        <v>3.6800999999999999</v>
      </c>
      <c r="T87" s="6">
        <f t="shared" si="161"/>
        <v>3.6798999999999999</v>
      </c>
      <c r="U87" s="6">
        <f t="shared" si="161"/>
        <v>4.7891385</v>
      </c>
      <c r="V87" s="6">
        <f t="shared" si="161"/>
        <v>3.1904330000000001</v>
      </c>
      <c r="W87" s="67">
        <f t="shared" si="161"/>
        <v>3.1059000000000001</v>
      </c>
      <c r="X87" s="37"/>
      <c r="Y87" s="78"/>
      <c r="Z87" s="7"/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/>
      <c r="L88" s="7"/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162">+SUM(C79:C88)+SUM(B89:B90)</f>
        <v>3.5446</v>
      </c>
      <c r="Q88" s="6">
        <f t="shared" si="162"/>
        <v>3.5146000000000002</v>
      </c>
      <c r="R88" s="6">
        <f t="shared" si="162"/>
        <v>3.2591999999999999</v>
      </c>
      <c r="S88" s="6">
        <f t="shared" si="162"/>
        <v>3.6339999999999999</v>
      </c>
      <c r="T88" s="6">
        <f t="shared" si="162"/>
        <v>3.7151000000000001</v>
      </c>
      <c r="U88" s="6">
        <f t="shared" si="162"/>
        <v>4.7942715000000007</v>
      </c>
      <c r="V88" s="6">
        <f t="shared" si="162"/>
        <v>3.1012000000000004</v>
      </c>
      <c r="W88" s="67">
        <f t="shared" si="162"/>
        <v>3.1495000000000006</v>
      </c>
      <c r="X88" s="37"/>
      <c r="Y88" s="78"/>
      <c r="Z88" s="7"/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163">+SUM(C79:C89)+SUM(B90)</f>
        <v>3.5903999999999998</v>
      </c>
      <c r="Q89" s="6">
        <f t="shared" si="163"/>
        <v>3.5212000000000003</v>
      </c>
      <c r="R89" s="6">
        <f t="shared" si="163"/>
        <v>3.2185999999999999</v>
      </c>
      <c r="S89" s="6">
        <f t="shared" si="163"/>
        <v>3.6400999999999999</v>
      </c>
      <c r="T89" s="6">
        <f t="shared" si="163"/>
        <v>3.8563999999999998</v>
      </c>
      <c r="U89" s="6">
        <f t="shared" si="163"/>
        <v>4.6969715000000001</v>
      </c>
      <c r="V89" s="6">
        <f t="shared" si="163"/>
        <v>3.0896000000000003</v>
      </c>
      <c r="W89" s="67">
        <f t="shared" si="163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164">+SUM(C79:C90)</f>
        <v>3.5324</v>
      </c>
      <c r="Q90" s="6">
        <f t="shared" si="164"/>
        <v>3.5169000000000001</v>
      </c>
      <c r="R90" s="6">
        <f t="shared" si="164"/>
        <v>3.3077999999999999</v>
      </c>
      <c r="S90" s="6">
        <f t="shared" si="164"/>
        <v>3.5053999999999998</v>
      </c>
      <c r="T90" s="6">
        <f t="shared" si="164"/>
        <v>4.1147</v>
      </c>
      <c r="U90" s="6">
        <f t="shared" si="164"/>
        <v>4.5083715</v>
      </c>
      <c r="V90" s="6">
        <f t="shared" si="164"/>
        <v>3.1328000000000005</v>
      </c>
      <c r="W90" s="67">
        <f t="shared" si="164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165">SUM(G79:G90)</f>
        <v>4.1147</v>
      </c>
      <c r="H91" s="159">
        <f t="shared" ref="H91" si="166">SUM(H79:H90)</f>
        <v>4.5083715</v>
      </c>
      <c r="I91" s="159">
        <f t="shared" ref="I91:J91" si="167">SUM(I79:I90)</f>
        <v>3.1328000000000005</v>
      </c>
      <c r="J91" s="216">
        <f t="shared" si="167"/>
        <v>2.9517000000000002</v>
      </c>
      <c r="K91" s="216"/>
      <c r="L91" s="56"/>
      <c r="M91" s="3"/>
      <c r="N91" s="43" t="s">
        <v>14</v>
      </c>
      <c r="O91" s="46">
        <f t="shared" ref="O91:W91" si="168">+AVERAGE(O79:O90)</f>
        <v>3.677502333333333</v>
      </c>
      <c r="P91" s="46">
        <f t="shared" si="168"/>
        <v>3.601769083333334</v>
      </c>
      <c r="Q91" s="46">
        <f t="shared" si="168"/>
        <v>3.4815583333333335</v>
      </c>
      <c r="R91" s="46">
        <f t="shared" si="168"/>
        <v>3.4353750000000001</v>
      </c>
      <c r="S91" s="46">
        <f t="shared" si="168"/>
        <v>3.4520833333333329</v>
      </c>
      <c r="T91" s="46">
        <f t="shared" si="168"/>
        <v>3.6471749999999994</v>
      </c>
      <c r="U91" s="226">
        <f t="shared" si="168"/>
        <v>4.541906458333334</v>
      </c>
      <c r="V91" s="226">
        <f t="shared" si="168"/>
        <v>3.7400900416666665</v>
      </c>
      <c r="W91" s="220">
        <f t="shared" si="168"/>
        <v>3.0616833333333342</v>
      </c>
      <c r="X91" s="220">
        <f t="shared" ref="X91" si="169">+AVERAGE(X79:X90)</f>
        <v>2.7751666666666668</v>
      </c>
      <c r="Y91" s="79">
        <f>+X91/W91-1</f>
        <v>-9.3581417629735486E-2</v>
      </c>
      <c r="Z91" s="75">
        <f>+POWER(X91/S91,0.2)-1</f>
        <v>-4.2714325489181415E-2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170">+C91/C$163</f>
        <v>1.802943998693371E-2</v>
      </c>
      <c r="D92" s="58">
        <f t="shared" ref="D92" si="171">+D91/D$163</f>
        <v>1.8143903769055642E-2</v>
      </c>
      <c r="E92" s="58">
        <f t="shared" ref="E92" si="172">+E91/E$163</f>
        <v>1.5564696681808814E-2</v>
      </c>
      <c r="F92" s="58">
        <f t="shared" ref="F92:G92" si="173">+F91/F$163</f>
        <v>1.3509586665382019E-2</v>
      </c>
      <c r="G92" s="58">
        <f t="shared" si="173"/>
        <v>1.5371310523110946E-2</v>
      </c>
      <c r="H92" s="58">
        <f t="shared" ref="H92" si="174">+H91/H$163</f>
        <v>1.9502955700186231E-2</v>
      </c>
      <c r="I92" s="58">
        <f t="shared" ref="I92:J92" si="175">+I91/I$163</f>
        <v>1.7375976802449764E-2</v>
      </c>
      <c r="J92" s="189">
        <f t="shared" si="175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176">+P91/P$163</f>
        <v>1.747429586481751E-2</v>
      </c>
      <c r="Q92" s="48">
        <f t="shared" ref="Q92" si="177">+Q91/Q$163</f>
        <v>1.8161341282434903E-2</v>
      </c>
      <c r="R92" s="48">
        <f t="shared" ref="R92" si="178">+R91/R$163</f>
        <v>1.672904338781258E-2</v>
      </c>
      <c r="S92" s="48">
        <f t="shared" ref="S92:W92" si="179">+S91/S$163</f>
        <v>1.4617420726207572E-2</v>
      </c>
      <c r="T92" s="48">
        <f t="shared" si="179"/>
        <v>1.3722278104911508E-2</v>
      </c>
      <c r="U92" s="58">
        <f t="shared" si="179"/>
        <v>1.7943855192766422E-2</v>
      </c>
      <c r="V92" s="58">
        <f t="shared" si="179"/>
        <v>1.8651186983580162E-2</v>
      </c>
      <c r="W92" s="189">
        <f t="shared" si="179"/>
        <v>1.7067497497144556E-2</v>
      </c>
      <c r="X92" s="189">
        <f t="shared" ref="X92" si="180">+X91/X$163</f>
        <v>1.536065292784137E-2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181">+D91/C91-1</f>
        <v>-4.3879515343675513E-3</v>
      </c>
      <c r="E93" s="62">
        <f t="shared" si="181"/>
        <v>-5.9455770707156907E-2</v>
      </c>
      <c r="F93" s="62">
        <f t="shared" si="181"/>
        <v>5.9737589938932301E-2</v>
      </c>
      <c r="G93" s="62">
        <f t="shared" si="181"/>
        <v>0.17381753865464722</v>
      </c>
      <c r="H93" s="62">
        <f t="shared" si="181"/>
        <v>9.5674411257199887E-2</v>
      </c>
      <c r="I93" s="62">
        <f t="shared" si="181"/>
        <v>-0.30511494006205997</v>
      </c>
      <c r="J93" s="190">
        <f t="shared" si="181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182">+Q91/P91-1</f>
        <v>-3.337547389038853E-2</v>
      </c>
      <c r="R93" s="50">
        <f t="shared" si="182"/>
        <v>-1.326513271116625E-2</v>
      </c>
      <c r="S93" s="50">
        <f t="shared" si="182"/>
        <v>4.8636126575214433E-3</v>
      </c>
      <c r="T93" s="50">
        <f t="shared" ref="T93" si="183">+T91/S91-1</f>
        <v>5.651418225709115E-2</v>
      </c>
      <c r="U93" s="62">
        <f t="shared" ref="U93" si="184">+U91/T91-1</f>
        <v>0.24532177872828553</v>
      </c>
      <c r="V93" s="62">
        <f t="shared" ref="V93" si="185">+V91/U91-1</f>
        <v>-0.17653741309346482</v>
      </c>
      <c r="W93" s="190">
        <f t="shared" ref="W93:X93" si="186">+W91/V91-1</f>
        <v>-0.1813878010356722</v>
      </c>
      <c r="X93" s="190">
        <f t="shared" si="186"/>
        <v>-9.3581417629735486E-2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25" t="s">
        <v>58</v>
      </c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7"/>
      <c r="M95" s="2"/>
      <c r="N95" s="325" t="s">
        <v>59</v>
      </c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7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187">+C96+1</f>
        <v>2018</v>
      </c>
      <c r="E96" s="39">
        <f t="shared" si="187"/>
        <v>2019</v>
      </c>
      <c r="F96" s="39">
        <f t="shared" si="187"/>
        <v>2020</v>
      </c>
      <c r="G96" s="39">
        <f t="shared" si="187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188">+P96+1</f>
        <v>2018</v>
      </c>
      <c r="R96" s="64">
        <f t="shared" si="188"/>
        <v>2019</v>
      </c>
      <c r="S96" s="64">
        <f t="shared" si="188"/>
        <v>2020</v>
      </c>
      <c r="T96" s="64">
        <f t="shared" si="188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189">+SUM(C97)+SUM(B98:B108)</f>
        <v>11.546635</v>
      </c>
      <c r="Q97" s="6">
        <f t="shared" si="189"/>
        <v>10.104199999999997</v>
      </c>
      <c r="R97" s="6">
        <f t="shared" si="189"/>
        <v>9.7772000000000006</v>
      </c>
      <c r="S97" s="6">
        <f t="shared" si="189"/>
        <v>12.411900000000001</v>
      </c>
      <c r="T97" s="6">
        <f t="shared" si="189"/>
        <v>16.277899999999995</v>
      </c>
      <c r="U97" s="6">
        <f t="shared" si="189"/>
        <v>18.5413</v>
      </c>
      <c r="V97" s="6">
        <f t="shared" si="189"/>
        <v>15.016682999999999</v>
      </c>
      <c r="W97" s="67">
        <f t="shared" si="189"/>
        <v>8.8405000000000005</v>
      </c>
      <c r="X97" s="37">
        <f t="shared" si="189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190">+SUM(C97:C98)+SUM(B99:B108)</f>
        <v>11.324240000000001</v>
      </c>
      <c r="Q98" s="6">
        <f t="shared" si="190"/>
        <v>10.289699999999998</v>
      </c>
      <c r="R98" s="6">
        <f t="shared" si="190"/>
        <v>9.7774999999999999</v>
      </c>
      <c r="S98" s="6">
        <f t="shared" si="190"/>
        <v>12.784400000000002</v>
      </c>
      <c r="T98" s="6">
        <f t="shared" si="190"/>
        <v>16.297499999999999</v>
      </c>
      <c r="U98" s="6">
        <f t="shared" si="190"/>
        <v>19.314399999999996</v>
      </c>
      <c r="V98" s="6">
        <f t="shared" si="190"/>
        <v>13.653383</v>
      </c>
      <c r="W98" s="67">
        <f t="shared" si="190"/>
        <v>8.9904000000000011</v>
      </c>
      <c r="X98" s="37">
        <f t="shared" si="190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191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192">+SUM(C97:C99)+SUM(B100:B108)</f>
        <v>11.287106999999999</v>
      </c>
      <c r="Q99" s="6">
        <f t="shared" si="192"/>
        <v>10.178699999999999</v>
      </c>
      <c r="R99" s="6">
        <f t="shared" si="192"/>
        <v>9.795300000000001</v>
      </c>
      <c r="S99" s="6">
        <f t="shared" si="192"/>
        <v>12.875900000000001</v>
      </c>
      <c r="T99" s="6">
        <f t="shared" si="192"/>
        <v>16.677599999999998</v>
      </c>
      <c r="U99" s="6">
        <f t="shared" si="192"/>
        <v>19.48959</v>
      </c>
      <c r="V99" s="6">
        <f t="shared" si="192"/>
        <v>13.001493</v>
      </c>
      <c r="W99" s="67">
        <f t="shared" si="192"/>
        <v>8.677999999999999</v>
      </c>
      <c r="X99" s="37">
        <f t="shared" ref="X99" si="193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</v>
      </c>
      <c r="L100" s="7">
        <f t="shared" si="191"/>
        <v>-1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194">+SUM(C97:C100)+SUM(B101:B108)</f>
        <v>10.827679</v>
      </c>
      <c r="Q100" s="6">
        <f t="shared" si="194"/>
        <v>10.1335</v>
      </c>
      <c r="R100" s="6">
        <f t="shared" si="194"/>
        <v>10.0251</v>
      </c>
      <c r="S100" s="6">
        <f t="shared" si="194"/>
        <v>13.6373</v>
      </c>
      <c r="T100" s="6">
        <f t="shared" si="194"/>
        <v>16.2959</v>
      </c>
      <c r="U100" s="6">
        <f t="shared" si="194"/>
        <v>20.291579999999996</v>
      </c>
      <c r="V100" s="6">
        <f t="shared" si="194"/>
        <v>11.639803000000001</v>
      </c>
      <c r="W100" s="67">
        <f t="shared" si="194"/>
        <v>8.545399999999999</v>
      </c>
      <c r="X100" s="37"/>
      <c r="Y100" s="78"/>
      <c r="Z100" s="7"/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/>
      <c r="L101" s="7"/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195">+SUM(C97:C101)+SUM(B102:B108)</f>
        <v>10.81359</v>
      </c>
      <c r="Q101" s="6">
        <f t="shared" si="195"/>
        <v>10.0314</v>
      </c>
      <c r="R101" s="6">
        <f t="shared" si="195"/>
        <v>10.1981</v>
      </c>
      <c r="S101" s="6">
        <f t="shared" si="195"/>
        <v>14.024600000000001</v>
      </c>
      <c r="T101" s="6">
        <f t="shared" si="195"/>
        <v>17.029799999999998</v>
      </c>
      <c r="U101" s="6">
        <f t="shared" si="195"/>
        <v>19.170984999999998</v>
      </c>
      <c r="V101" s="6">
        <f t="shared" si="195"/>
        <v>11.416998</v>
      </c>
      <c r="W101" s="67">
        <f t="shared" si="195"/>
        <v>8.5944000000000003</v>
      </c>
      <c r="X101" s="37"/>
      <c r="Y101" s="78"/>
      <c r="Z101" s="7"/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/>
      <c r="L102" s="7"/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196">+SUM(C97:C102)+SUM(B103:B108)</f>
        <v>11.024520000000001</v>
      </c>
      <c r="Q102" s="6">
        <f t="shared" si="196"/>
        <v>9.6277000000000008</v>
      </c>
      <c r="R102" s="6">
        <f t="shared" si="196"/>
        <v>10.1585</v>
      </c>
      <c r="S102" s="6">
        <f t="shared" si="196"/>
        <v>14.6853</v>
      </c>
      <c r="T102" s="6">
        <f t="shared" si="196"/>
        <v>17.329000000000001</v>
      </c>
      <c r="U102" s="6">
        <f t="shared" si="196"/>
        <v>19.223495999999997</v>
      </c>
      <c r="V102" s="6">
        <f t="shared" si="196"/>
        <v>10.401987</v>
      </c>
      <c r="W102" s="67">
        <f t="shared" si="196"/>
        <v>8.6385000000000005</v>
      </c>
      <c r="X102" s="37"/>
      <c r="Y102" s="78"/>
      <c r="Z102" s="7"/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/>
      <c r="L103" s="7"/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197">+SUM(C97:C103)+SUM(B104:B108)</f>
        <v>10.97664</v>
      </c>
      <c r="Q103" s="6">
        <f t="shared" si="197"/>
        <v>9.7968000000000011</v>
      </c>
      <c r="R103" s="6">
        <f t="shared" si="197"/>
        <v>10.097899999999999</v>
      </c>
      <c r="S103" s="6">
        <f t="shared" si="197"/>
        <v>16.3645</v>
      </c>
      <c r="T103" s="6">
        <f t="shared" si="197"/>
        <v>16.3553</v>
      </c>
      <c r="U103" s="6">
        <f t="shared" si="197"/>
        <v>18.599724999999999</v>
      </c>
      <c r="V103" s="6">
        <f t="shared" si="197"/>
        <v>10.254358</v>
      </c>
      <c r="W103" s="67">
        <f t="shared" si="197"/>
        <v>8.8552999999999997</v>
      </c>
      <c r="X103" s="37"/>
      <c r="Y103" s="78"/>
      <c r="Z103" s="7"/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/>
      <c r="L104" s="7"/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198">+SUM(C97:C104)+SUM(B105:B108)</f>
        <v>10.801902</v>
      </c>
      <c r="Q104" s="6">
        <f t="shared" si="198"/>
        <v>9.5527000000000015</v>
      </c>
      <c r="R104" s="6">
        <f t="shared" si="198"/>
        <v>10.5892</v>
      </c>
      <c r="S104" s="6">
        <f t="shared" si="198"/>
        <v>16.4861</v>
      </c>
      <c r="T104" s="6">
        <f t="shared" si="198"/>
        <v>16.289499999999997</v>
      </c>
      <c r="U104" s="6">
        <f t="shared" si="198"/>
        <v>18.494723</v>
      </c>
      <c r="V104" s="6">
        <f t="shared" si="198"/>
        <v>9.9456600000000002</v>
      </c>
      <c r="W104" s="67">
        <f t="shared" si="198"/>
        <v>8.7911000000000001</v>
      </c>
      <c r="X104" s="37"/>
      <c r="Y104" s="78"/>
      <c r="Z104" s="7"/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/>
      <c r="L105" s="7"/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199">+SUM(C97:C105)+SUM(B106:B108)</f>
        <v>10.633602</v>
      </c>
      <c r="Q105" s="6">
        <f t="shared" si="199"/>
        <v>9.6154000000000011</v>
      </c>
      <c r="R105" s="6">
        <f t="shared" si="199"/>
        <v>10.701000000000001</v>
      </c>
      <c r="S105" s="6">
        <f t="shared" si="199"/>
        <v>17.093799999999998</v>
      </c>
      <c r="T105" s="6">
        <f t="shared" si="199"/>
        <v>16.126899999999999</v>
      </c>
      <c r="U105" s="6">
        <f t="shared" si="199"/>
        <v>18.173196999999998</v>
      </c>
      <c r="V105" s="6">
        <f t="shared" si="199"/>
        <v>9.6958859999999998</v>
      </c>
      <c r="W105" s="67">
        <f t="shared" si="199"/>
        <v>8.8087</v>
      </c>
      <c r="X105" s="37"/>
      <c r="Y105" s="78"/>
      <c r="Z105" s="7"/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/>
      <c r="L106" s="7"/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00">+SUM(C97:C106)+SUM(B107:B108)</f>
        <v>10.452900000000001</v>
      </c>
      <c r="Q106" s="6">
        <f t="shared" si="200"/>
        <v>9.7460000000000004</v>
      </c>
      <c r="R106" s="6">
        <f t="shared" si="200"/>
        <v>10.864800000000001</v>
      </c>
      <c r="S106" s="6">
        <f t="shared" si="200"/>
        <v>17.069099999999999</v>
      </c>
      <c r="T106" s="6">
        <f t="shared" si="200"/>
        <v>16.427099999999999</v>
      </c>
      <c r="U106" s="6">
        <f t="shared" si="200"/>
        <v>17.686682999999999</v>
      </c>
      <c r="V106" s="6">
        <f t="shared" si="200"/>
        <v>9.5358999999999998</v>
      </c>
      <c r="W106" s="67">
        <f t="shared" si="200"/>
        <v>9.1215000000000011</v>
      </c>
      <c r="X106" s="37"/>
      <c r="Y106" s="78"/>
      <c r="Z106" s="7"/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01">+SUM(C97:C107)+SUM(B108)</f>
        <v>10.412500000000001</v>
      </c>
      <c r="Q107" s="6">
        <f t="shared" si="201"/>
        <v>9.6463000000000001</v>
      </c>
      <c r="R107" s="6">
        <f t="shared" si="201"/>
        <v>11.149800000000001</v>
      </c>
      <c r="S107" s="6">
        <f t="shared" si="201"/>
        <v>17.191799999999997</v>
      </c>
      <c r="T107" s="6">
        <f t="shared" si="201"/>
        <v>16.5624</v>
      </c>
      <c r="U107" s="6">
        <f t="shared" si="201"/>
        <v>17.389382999999999</v>
      </c>
      <c r="V107" s="6">
        <f t="shared" si="201"/>
        <v>9.3067999999999991</v>
      </c>
      <c r="W107" s="67">
        <f t="shared" si="201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02">+SUM(C97:C108)</f>
        <v>10.159000000000001</v>
      </c>
      <c r="Q108" s="6">
        <f t="shared" si="202"/>
        <v>9.6378000000000004</v>
      </c>
      <c r="R108" s="6">
        <f t="shared" si="202"/>
        <v>12.122900000000001</v>
      </c>
      <c r="S108" s="6">
        <f t="shared" si="202"/>
        <v>16.638099999999998</v>
      </c>
      <c r="T108" s="6">
        <f t="shared" si="202"/>
        <v>17.820899999999998</v>
      </c>
      <c r="U108" s="6">
        <f t="shared" si="202"/>
        <v>15.790282999999999</v>
      </c>
      <c r="V108" s="6">
        <f t="shared" si="202"/>
        <v>9.0814000000000004</v>
      </c>
      <c r="W108" s="67">
        <f t="shared" si="202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03">SUM(C97:C108)</f>
        <v>10.159000000000001</v>
      </c>
      <c r="D109" s="159">
        <f t="shared" ref="D109" si="204">SUM(D97:D108)</f>
        <v>9.6378000000000004</v>
      </c>
      <c r="E109" s="159">
        <f t="shared" ref="E109" si="205">SUM(E97:E108)</f>
        <v>12.122900000000001</v>
      </c>
      <c r="F109" s="159">
        <f t="shared" ref="F109:G109" si="206">SUM(F97:F108)</f>
        <v>16.638099999999998</v>
      </c>
      <c r="G109" s="159">
        <f t="shared" si="206"/>
        <v>17.820899999999998</v>
      </c>
      <c r="H109" s="159">
        <f t="shared" ref="H109:I109" si="207">SUM(H97:H108)</f>
        <v>15.790282999999999</v>
      </c>
      <c r="I109" s="159">
        <f t="shared" si="207"/>
        <v>9.0814000000000004</v>
      </c>
      <c r="J109" s="216">
        <f t="shared" ref="J109" si="208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09">+AVERAGE(Q97:Q108)</f>
        <v>9.8633499999999987</v>
      </c>
      <c r="R109" s="46">
        <f t="shared" si="209"/>
        <v>10.438108333333334</v>
      </c>
      <c r="S109" s="46">
        <f t="shared" si="209"/>
        <v>15.105233333333333</v>
      </c>
      <c r="T109" s="46">
        <f t="shared" si="209"/>
        <v>16.624149999999997</v>
      </c>
      <c r="U109" s="226">
        <f t="shared" si="209"/>
        <v>18.513778749999997</v>
      </c>
      <c r="V109" s="226">
        <f t="shared" si="209"/>
        <v>11.079195916666668</v>
      </c>
      <c r="W109" s="220">
        <f t="shared" si="209"/>
        <v>8.8676416666666658</v>
      </c>
      <c r="X109" s="220">
        <f t="shared" ref="X109" si="210">+AVERAGE(X97:X108)</f>
        <v>9.4043666666666663</v>
      </c>
      <c r="Y109" s="79">
        <f>+X109/W109-1</f>
        <v>6.052623912596089E-2</v>
      </c>
      <c r="Z109" s="75">
        <f>+POWER(X109/S109,0.2)-1</f>
        <v>-9.0421004057977372E-2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11">+C109/C$163</f>
        <v>5.1851738429186826E-2</v>
      </c>
      <c r="D110" s="58">
        <f t="shared" si="211"/>
        <v>4.9722003965254759E-2</v>
      </c>
      <c r="E110" s="58">
        <f t="shared" si="211"/>
        <v>5.7043733419160803E-2</v>
      </c>
      <c r="F110" s="58">
        <f t="shared" si="211"/>
        <v>6.4122169765873385E-2</v>
      </c>
      <c r="G110" s="58">
        <f t="shared" si="211"/>
        <v>6.6573647580943404E-2</v>
      </c>
      <c r="H110" s="58">
        <f t="shared" ref="H110:I110" si="212">+H109/H$163</f>
        <v>6.8307855695211389E-2</v>
      </c>
      <c r="I110" s="58">
        <f t="shared" si="212"/>
        <v>5.0369699863945121E-2</v>
      </c>
      <c r="J110" s="189">
        <f t="shared" ref="J110" si="213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214">+P109/P$163</f>
        <v>5.2664103645787719E-2</v>
      </c>
      <c r="Q110" s="48">
        <f t="shared" si="214"/>
        <v>5.1451576675608658E-2</v>
      </c>
      <c r="R110" s="48">
        <f t="shared" si="214"/>
        <v>5.0829841631560277E-2</v>
      </c>
      <c r="S110" s="48">
        <f t="shared" si="214"/>
        <v>6.3961245856618415E-2</v>
      </c>
      <c r="T110" s="48">
        <f t="shared" si="214"/>
        <v>6.2547371474569943E-2</v>
      </c>
      <c r="U110" s="58">
        <f t="shared" si="214"/>
        <v>7.3142978176353943E-2</v>
      </c>
      <c r="V110" s="58">
        <f t="shared" si="214"/>
        <v>5.5250048091725741E-2</v>
      </c>
      <c r="W110" s="189">
        <f t="shared" si="214"/>
        <v>4.9433084833966516E-2</v>
      </c>
      <c r="X110" s="189">
        <f t="shared" ref="X110" si="215">+X109/X$163</f>
        <v>5.2053526769380978E-2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216">+D109/C109-1</f>
        <v>-5.1304262230534525E-2</v>
      </c>
      <c r="E111" s="62">
        <f t="shared" si="216"/>
        <v>0.25784930170785869</v>
      </c>
      <c r="F111" s="62">
        <f t="shared" si="216"/>
        <v>0.37245213604005611</v>
      </c>
      <c r="G111" s="62">
        <f t="shared" si="216"/>
        <v>7.1089847999471045E-2</v>
      </c>
      <c r="H111" s="62">
        <f t="shared" si="216"/>
        <v>-0.11394581642902435</v>
      </c>
      <c r="I111" s="62">
        <f t="shared" si="216"/>
        <v>-0.42487414570087179</v>
      </c>
      <c r="J111" s="190">
        <f t="shared" si="216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217">+Q109/P109-1</f>
        <v>-9.1356411966300066E-2</v>
      </c>
      <c r="R111" s="50">
        <f t="shared" si="217"/>
        <v>5.827212187880737E-2</v>
      </c>
      <c r="S111" s="50">
        <f t="shared" si="217"/>
        <v>0.44712364069798705</v>
      </c>
      <c r="T111" s="50">
        <f t="shared" ref="T111" si="218">+T109/S109-1</f>
        <v>0.1005556573108215</v>
      </c>
      <c r="U111" s="62">
        <f t="shared" ref="U111" si="219">+U109/T109-1</f>
        <v>0.1136676912804564</v>
      </c>
      <c r="V111" s="62">
        <f t="shared" ref="V111" si="220">+V109/U109-1</f>
        <v>-0.40157025390256051</v>
      </c>
      <c r="W111" s="190">
        <f t="shared" ref="W111:X111" si="221">+W109/V109-1</f>
        <v>-0.19961324509778866</v>
      </c>
      <c r="X111" s="190">
        <f t="shared" si="221"/>
        <v>6.052623912596089E-2</v>
      </c>
      <c r="Y111" s="73"/>
      <c r="Z111" s="52"/>
    </row>
    <row r="112" spans="1:26" ht="15.75" thickBot="1" x14ac:dyDescent="0.3"/>
    <row r="113" spans="1:26" ht="15.75" thickBot="1" x14ac:dyDescent="0.3">
      <c r="A113" s="325" t="s">
        <v>60</v>
      </c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7"/>
      <c r="M113" s="2"/>
      <c r="N113" s="325" t="s">
        <v>61</v>
      </c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7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222">+C114+1</f>
        <v>2018</v>
      </c>
      <c r="E114" s="39">
        <f t="shared" si="222"/>
        <v>2019</v>
      </c>
      <c r="F114" s="39">
        <f t="shared" si="222"/>
        <v>2020</v>
      </c>
      <c r="G114" s="39">
        <f t="shared" si="222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223">+P114+1</f>
        <v>2018</v>
      </c>
      <c r="R114" s="64">
        <f t="shared" si="223"/>
        <v>2019</v>
      </c>
      <c r="S114" s="64">
        <f t="shared" si="223"/>
        <v>2020</v>
      </c>
      <c r="T114" s="64">
        <f t="shared" si="223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224">+SUM(C115)+SUM(B116:B126)</f>
        <v>6.5197460000000014</v>
      </c>
      <c r="Q115" s="6">
        <f t="shared" si="224"/>
        <v>5.9808000000000003</v>
      </c>
      <c r="R115" s="6">
        <f t="shared" si="224"/>
        <v>5.2837999999999994</v>
      </c>
      <c r="S115" s="6">
        <f t="shared" si="224"/>
        <v>5.6215000000000002</v>
      </c>
      <c r="T115" s="6">
        <f t="shared" si="224"/>
        <v>5.7895999999999992</v>
      </c>
      <c r="U115" s="6">
        <f t="shared" si="224"/>
        <v>6.1899999999999986</v>
      </c>
      <c r="V115" s="6">
        <f t="shared" si="224"/>
        <v>5.2256160000000005</v>
      </c>
      <c r="W115" s="67">
        <f t="shared" si="224"/>
        <v>3.4184999999999999</v>
      </c>
      <c r="X115" s="37">
        <f t="shared" si="224"/>
        <v>3.7822000000000005</v>
      </c>
      <c r="Y115" s="78">
        <f t="shared" ref="Y115:Y116" si="225">+X115/W115-1</f>
        <v>0.10639169226268841</v>
      </c>
      <c r="Z115" s="7">
        <f t="shared" ref="Z115:Z116" si="226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227">+SUM(C115:C116)+SUM(B117:B126)</f>
        <v>6.4140000000000006</v>
      </c>
      <c r="Q116" s="6">
        <f t="shared" si="227"/>
        <v>5.9</v>
      </c>
      <c r="R116" s="6">
        <f t="shared" si="227"/>
        <v>5.388300000000001</v>
      </c>
      <c r="S116" s="6">
        <f t="shared" si="227"/>
        <v>5.5564</v>
      </c>
      <c r="T116" s="6">
        <f t="shared" si="227"/>
        <v>5.8605</v>
      </c>
      <c r="U116" s="6">
        <f t="shared" si="227"/>
        <v>6.2419000000000002</v>
      </c>
      <c r="V116" s="6">
        <f t="shared" si="227"/>
        <v>4.9451159999999996</v>
      </c>
      <c r="W116" s="67">
        <f t="shared" si="227"/>
        <v>3.5161999999999995</v>
      </c>
      <c r="X116" s="37">
        <f t="shared" si="227"/>
        <v>3.7830000000000004</v>
      </c>
      <c r="Y116" s="78">
        <f t="shared" si="225"/>
        <v>7.587736761276398E-2</v>
      </c>
      <c r="Z116" s="7">
        <f t="shared" si="226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228">+SUM(C115:C117)+SUM(B118:B126)</f>
        <v>6.1794380000000002</v>
      </c>
      <c r="Q117" s="6">
        <f t="shared" si="228"/>
        <v>6.0499000000000001</v>
      </c>
      <c r="R117" s="6">
        <f t="shared" si="228"/>
        <v>5.3492999999999995</v>
      </c>
      <c r="S117" s="6">
        <f t="shared" si="228"/>
        <v>5.2818000000000005</v>
      </c>
      <c r="T117" s="6">
        <f t="shared" si="228"/>
        <v>6.1544999999999996</v>
      </c>
      <c r="U117" s="6">
        <f t="shared" si="228"/>
        <v>6.0459600000000009</v>
      </c>
      <c r="V117" s="6">
        <f t="shared" si="228"/>
        <v>4.8736560000000004</v>
      </c>
      <c r="W117" s="67">
        <f t="shared" si="228"/>
        <v>3.4874999999999998</v>
      </c>
      <c r="X117" s="37">
        <f t="shared" ref="X117" si="229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/>
      <c r="L118" s="7"/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230">+SUM(C115:C118)+SUM(B119:B126)</f>
        <v>5.7320910000000005</v>
      </c>
      <c r="Q118" s="6">
        <f t="shared" si="230"/>
        <v>5.8639999999999999</v>
      </c>
      <c r="R118" s="6">
        <f t="shared" si="230"/>
        <v>5.4741999999999997</v>
      </c>
      <c r="S118" s="6">
        <f t="shared" si="230"/>
        <v>5.3124000000000002</v>
      </c>
      <c r="T118" s="6">
        <f t="shared" si="230"/>
        <v>5.8834999999999997</v>
      </c>
      <c r="U118" s="6">
        <f t="shared" si="230"/>
        <v>6.2636700000000012</v>
      </c>
      <c r="V118" s="6">
        <f t="shared" si="230"/>
        <v>4.588546</v>
      </c>
      <c r="W118" s="67">
        <f t="shared" si="230"/>
        <v>3.7319</v>
      </c>
      <c r="X118" s="37"/>
      <c r="Y118" s="78"/>
      <c r="Z118" s="7"/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/>
      <c r="L119" s="7"/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231">+SUM(C115:C119)+SUM(B120:B126)</f>
        <v>5.7204460000000008</v>
      </c>
      <c r="Q119" s="6">
        <f t="shared" si="231"/>
        <v>5.7969999999999988</v>
      </c>
      <c r="R119" s="6">
        <f t="shared" si="231"/>
        <v>5.5390999999999995</v>
      </c>
      <c r="S119" s="6">
        <f t="shared" si="231"/>
        <v>5.4055</v>
      </c>
      <c r="T119" s="6">
        <f t="shared" si="231"/>
        <v>5.8606999999999996</v>
      </c>
      <c r="U119" s="6">
        <f t="shared" si="231"/>
        <v>6.2869619999999999</v>
      </c>
      <c r="V119" s="6">
        <f t="shared" si="231"/>
        <v>4.407654</v>
      </c>
      <c r="W119" s="67">
        <f t="shared" si="231"/>
        <v>3.7696999999999998</v>
      </c>
      <c r="X119" s="37"/>
      <c r="Y119" s="78"/>
      <c r="Z119" s="7"/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/>
      <c r="L120" s="7"/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232">+SUM(C115:C120)+SUM(B121:B126)</f>
        <v>5.7195050000000007</v>
      </c>
      <c r="Q120" s="6">
        <f t="shared" si="232"/>
        <v>5.8381999999999996</v>
      </c>
      <c r="R120" s="6">
        <f t="shared" si="232"/>
        <v>5.4230999999999998</v>
      </c>
      <c r="S120" s="6">
        <f t="shared" si="232"/>
        <v>5.5296000000000003</v>
      </c>
      <c r="T120" s="6">
        <f t="shared" si="232"/>
        <v>5.9535</v>
      </c>
      <c r="U120" s="6">
        <f t="shared" si="232"/>
        <v>6.2777130000000003</v>
      </c>
      <c r="V120" s="6">
        <f t="shared" si="232"/>
        <v>4.1139029999999996</v>
      </c>
      <c r="W120" s="67">
        <f t="shared" si="232"/>
        <v>3.8517999999999999</v>
      </c>
      <c r="X120" s="37"/>
      <c r="Y120" s="78"/>
      <c r="Z120" s="7"/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/>
      <c r="L121" s="7"/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233">+SUM(C115:C121)+SUM(B122:B126)</f>
        <v>5.8174150000000004</v>
      </c>
      <c r="Q121" s="6">
        <f t="shared" si="233"/>
        <v>5.9305000000000003</v>
      </c>
      <c r="R121" s="6">
        <f t="shared" si="233"/>
        <v>5.3326000000000002</v>
      </c>
      <c r="S121" s="6">
        <f t="shared" si="233"/>
        <v>5.3894000000000002</v>
      </c>
      <c r="T121" s="6">
        <f t="shared" si="233"/>
        <v>6.0268999999999995</v>
      </c>
      <c r="U121" s="6">
        <f t="shared" si="233"/>
        <v>6.1646320000000001</v>
      </c>
      <c r="V121" s="6">
        <f t="shared" si="233"/>
        <v>4.0859839999999998</v>
      </c>
      <c r="W121" s="67">
        <f t="shared" si="233"/>
        <v>3.9581</v>
      </c>
      <c r="X121" s="37"/>
      <c r="Y121" s="78"/>
      <c r="Z121" s="7"/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/>
      <c r="L122" s="7"/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234">+SUM(C115:C122)+SUM(B123:B126)</f>
        <v>5.6669480000000005</v>
      </c>
      <c r="Q122" s="6">
        <f t="shared" si="234"/>
        <v>5.9430999999999994</v>
      </c>
      <c r="R122" s="6">
        <f t="shared" si="234"/>
        <v>5.3117000000000001</v>
      </c>
      <c r="S122" s="6">
        <f t="shared" si="234"/>
        <v>5.6497000000000002</v>
      </c>
      <c r="T122" s="6">
        <f t="shared" si="234"/>
        <v>5.8851999999999993</v>
      </c>
      <c r="U122" s="6">
        <f t="shared" si="234"/>
        <v>5.9677340000000001</v>
      </c>
      <c r="V122" s="6">
        <f t="shared" si="234"/>
        <v>3.9503820000000003</v>
      </c>
      <c r="W122" s="67">
        <f t="shared" si="234"/>
        <v>4.0037000000000003</v>
      </c>
      <c r="X122" s="37"/>
      <c r="Y122" s="78"/>
      <c r="Z122" s="7"/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/>
      <c r="L123" s="7"/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235">+SUM(C115:C123)+SUM(B124:B126)</f>
        <v>5.8281710000000002</v>
      </c>
      <c r="Q123" s="6">
        <f t="shared" si="235"/>
        <v>5.6344999999999992</v>
      </c>
      <c r="R123" s="6">
        <f t="shared" si="235"/>
        <v>5.4077000000000002</v>
      </c>
      <c r="S123" s="6">
        <f t="shared" si="235"/>
        <v>5.8212000000000002</v>
      </c>
      <c r="T123" s="6">
        <f t="shared" si="235"/>
        <v>5.9209999999999994</v>
      </c>
      <c r="U123" s="6">
        <f t="shared" si="235"/>
        <v>5.8485010000000006</v>
      </c>
      <c r="V123" s="6">
        <f t="shared" si="235"/>
        <v>3.8004150000000001</v>
      </c>
      <c r="W123" s="67">
        <f t="shared" si="235"/>
        <v>3.9119999999999999</v>
      </c>
      <c r="X123" s="37"/>
      <c r="Y123" s="78"/>
      <c r="Z123" s="7"/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/>
      <c r="L124" s="7"/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236">+SUM(C115:C124)+SUM(B125:B126)</f>
        <v>5.8978999999999999</v>
      </c>
      <c r="Q124" s="6">
        <f t="shared" si="236"/>
        <v>5.5356999999999994</v>
      </c>
      <c r="R124" s="6">
        <f t="shared" si="236"/>
        <v>5.4688999999999997</v>
      </c>
      <c r="S124" s="6">
        <f t="shared" si="236"/>
        <v>5.7877999999999998</v>
      </c>
      <c r="T124" s="6">
        <f t="shared" si="236"/>
        <v>5.8680999999999992</v>
      </c>
      <c r="U124" s="6">
        <f t="shared" si="236"/>
        <v>6.062316</v>
      </c>
      <c r="V124" s="6">
        <f t="shared" si="236"/>
        <v>3.4977</v>
      </c>
      <c r="W124" s="67">
        <f t="shared" si="236"/>
        <v>4.0179999999999998</v>
      </c>
      <c r="X124" s="37"/>
      <c r="Y124" s="78"/>
      <c r="Z124" s="7"/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237">+SUM(C115:C125)+SUM(B126)</f>
        <v>5.8832000000000004</v>
      </c>
      <c r="Q125" s="6">
        <f t="shared" si="237"/>
        <v>5.4464999999999995</v>
      </c>
      <c r="R125" s="6">
        <f t="shared" si="237"/>
        <v>5.5785999999999998</v>
      </c>
      <c r="S125" s="6">
        <f t="shared" si="237"/>
        <v>5.6492999999999993</v>
      </c>
      <c r="T125" s="6">
        <f t="shared" si="237"/>
        <v>5.9118999999999993</v>
      </c>
      <c r="U125" s="6">
        <f t="shared" si="237"/>
        <v>5.8663159999999994</v>
      </c>
      <c r="V125" s="6">
        <f t="shared" si="237"/>
        <v>3.4824999999999999</v>
      </c>
      <c r="W125" s="67">
        <f t="shared" si="237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238">+SUM(C115:C126)</f>
        <v>5.8956</v>
      </c>
      <c r="Q126" s="6">
        <f t="shared" si="238"/>
        <v>5.4649000000000001</v>
      </c>
      <c r="R126" s="6">
        <f t="shared" si="238"/>
        <v>5.4870999999999999</v>
      </c>
      <c r="S126" s="6">
        <f t="shared" si="238"/>
        <v>5.8879999999999999</v>
      </c>
      <c r="T126" s="6">
        <f t="shared" si="238"/>
        <v>6.2718999999999987</v>
      </c>
      <c r="U126" s="6">
        <f t="shared" si="238"/>
        <v>5.1882159999999997</v>
      </c>
      <c r="V126" s="6">
        <f t="shared" si="238"/>
        <v>3.4487999999999999</v>
      </c>
      <c r="W126" s="67">
        <f t="shared" si="238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239">SUM(C115:C126)</f>
        <v>5.8956</v>
      </c>
      <c r="D127" s="159">
        <f t="shared" ref="D127" si="240">SUM(D115:D126)</f>
        <v>5.4649000000000001</v>
      </c>
      <c r="E127" s="159">
        <f t="shared" ref="E127" si="241">SUM(E115:E126)</f>
        <v>5.4870999999999999</v>
      </c>
      <c r="F127" s="159">
        <f t="shared" ref="F127:G127" si="242">SUM(F115:F126)</f>
        <v>5.8879999999999999</v>
      </c>
      <c r="G127" s="159">
        <f t="shared" si="242"/>
        <v>6.2718999999999987</v>
      </c>
      <c r="H127" s="159">
        <f t="shared" ref="H127:I127" si="243">SUM(H115:H126)</f>
        <v>5.1882159999999997</v>
      </c>
      <c r="I127" s="159">
        <f t="shared" si="243"/>
        <v>3.4487999999999999</v>
      </c>
      <c r="J127" s="216">
        <f t="shared" ref="J127" si="244">SUM(J115:J126)</f>
        <v>3.8716000000000004</v>
      </c>
      <c r="K127" s="216"/>
      <c r="L127" s="56"/>
      <c r="M127" s="3"/>
      <c r="N127" s="43" t="s">
        <v>14</v>
      </c>
      <c r="O127" s="46">
        <f t="shared" ref="O127" si="245">+AVERAGE(O115:O126)</f>
        <v>6.4799646666666648</v>
      </c>
      <c r="P127" s="46">
        <f>+AVERAGE(P115:P126)</f>
        <v>5.939538333333334</v>
      </c>
      <c r="Q127" s="46">
        <f t="shared" ref="Q127:W127" si="246">+AVERAGE(Q115:Q126)</f>
        <v>5.7820916666666662</v>
      </c>
      <c r="R127" s="46">
        <f t="shared" si="246"/>
        <v>5.4203666666666663</v>
      </c>
      <c r="S127" s="46">
        <f t="shared" si="246"/>
        <v>5.5743833333333335</v>
      </c>
      <c r="T127" s="46">
        <f t="shared" si="246"/>
        <v>5.9489416666666664</v>
      </c>
      <c r="U127" s="226">
        <f t="shared" si="246"/>
        <v>6.0336600000000002</v>
      </c>
      <c r="V127" s="226">
        <f t="shared" si="246"/>
        <v>4.2016893333333334</v>
      </c>
      <c r="W127" s="220">
        <f t="shared" si="246"/>
        <v>3.7887833333333334</v>
      </c>
      <c r="X127" s="220">
        <f t="shared" ref="X127" si="247">+AVERAGE(X115:X126)</f>
        <v>3.7955333333333336</v>
      </c>
      <c r="Y127" s="79">
        <f>+X127/W127-1</f>
        <v>1.7815745599951693E-3</v>
      </c>
      <c r="Z127" s="75">
        <f>+POWER(X127/S127,0.2)-1</f>
        <v>-7.3991025151036505E-2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248">+C127/C$163</f>
        <v>3.0091259876278555E-2</v>
      </c>
      <c r="D128" s="58">
        <f t="shared" ref="D128" si="249">+D127/D$163</f>
        <v>2.8193755781373415E-2</v>
      </c>
      <c r="E128" s="58">
        <f t="shared" ref="E128" si="250">+E127/E$163</f>
        <v>2.5819289909532965E-2</v>
      </c>
      <c r="F128" s="58">
        <f t="shared" ref="F128:G128" si="251">+F127/F$163</f>
        <v>2.2691974178629924E-2</v>
      </c>
      <c r="G128" s="58">
        <f t="shared" si="251"/>
        <v>2.3429976054122906E-2</v>
      </c>
      <c r="H128" s="58">
        <f t="shared" ref="H128:I128" si="252">+H127/H$163</f>
        <v>2.2443923889368347E-2</v>
      </c>
      <c r="I128" s="58">
        <f t="shared" si="252"/>
        <v>1.9128660877262751E-2</v>
      </c>
      <c r="J128" s="189">
        <f t="shared" ref="J128" si="253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254">+P127/P$163</f>
        <v>2.8816186639327192E-2</v>
      </c>
      <c r="Q128" s="48">
        <f t="shared" ref="Q128" si="255">+Q127/Q$163</f>
        <v>3.016193613051325E-2</v>
      </c>
      <c r="R128" s="48">
        <f t="shared" ref="R128" si="256">+R127/R$163</f>
        <v>2.6395240445226419E-2</v>
      </c>
      <c r="S128" s="48">
        <f t="shared" ref="S128:W128" si="257">+S127/S$163</f>
        <v>2.3604038084970736E-2</v>
      </c>
      <c r="T128" s="48">
        <f t="shared" si="257"/>
        <v>2.238253771203624E-2</v>
      </c>
      <c r="U128" s="58">
        <f t="shared" si="257"/>
        <v>2.3837373648182968E-2</v>
      </c>
      <c r="V128" s="58">
        <f t="shared" si="257"/>
        <v>2.0953103409241038E-2</v>
      </c>
      <c r="W128" s="189">
        <f t="shared" si="257"/>
        <v>2.1120750586732677E-2</v>
      </c>
      <c r="X128" s="189">
        <f t="shared" ref="X128" si="258">+X127/X$163</f>
        <v>2.1008421191298848E-2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259">+D127/C127-1</f>
        <v>-7.305448130809411E-2</v>
      </c>
      <c r="E129" s="62">
        <f t="shared" si="259"/>
        <v>4.062288422477911E-3</v>
      </c>
      <c r="F129" s="62">
        <f t="shared" si="259"/>
        <v>7.3062273331996774E-2</v>
      </c>
      <c r="G129" s="62">
        <f t="shared" si="259"/>
        <v>6.5200407608695388E-2</v>
      </c>
      <c r="H129" s="62">
        <f t="shared" si="259"/>
        <v>-0.17278400484701595</v>
      </c>
      <c r="I129" s="62">
        <f t="shared" si="259"/>
        <v>-0.33526283408400881</v>
      </c>
      <c r="J129" s="190">
        <f t="shared" si="259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260">+Q127/P127-1</f>
        <v>-2.6508233103414769E-2</v>
      </c>
      <c r="R129" s="50">
        <f t="shared" si="260"/>
        <v>-6.2559540881255482E-2</v>
      </c>
      <c r="S129" s="50">
        <f t="shared" si="260"/>
        <v>2.8414436907712393E-2</v>
      </c>
      <c r="T129" s="50">
        <f t="shared" ref="T129" si="261">+T127/S127-1</f>
        <v>6.7192783656189192E-2</v>
      </c>
      <c r="U129" s="62">
        <f t="shared" ref="U129" si="262">+U127/T127-1</f>
        <v>1.4240908396871754E-2</v>
      </c>
      <c r="V129" s="62">
        <f t="shared" ref="V129" si="263">+V127/U127-1</f>
        <v>-0.3036251075908597</v>
      </c>
      <c r="W129" s="190">
        <f t="shared" ref="W129:X129" si="264">+W127/V127-1</f>
        <v>-9.8271425429835024E-2</v>
      </c>
      <c r="X129" s="190">
        <f t="shared" si="264"/>
        <v>1.7815745599951693E-3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25" t="s">
        <v>62</v>
      </c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7"/>
      <c r="M131" s="2"/>
      <c r="N131" s="325" t="s">
        <v>192</v>
      </c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7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265">+C132+1</f>
        <v>2018</v>
      </c>
      <c r="E132" s="39">
        <f t="shared" ref="E132" si="266">+D132+1</f>
        <v>2019</v>
      </c>
      <c r="F132" s="39">
        <f t="shared" ref="F132" si="267">+E132+1</f>
        <v>2020</v>
      </c>
      <c r="G132" s="39">
        <f t="shared" ref="G132" si="268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269">+P132+1</f>
        <v>2018</v>
      </c>
      <c r="R132" s="64">
        <f t="shared" ref="R132" si="270">+Q132+1</f>
        <v>2019</v>
      </c>
      <c r="S132" s="64">
        <f t="shared" ref="S132" si="271">+R132+1</f>
        <v>2020</v>
      </c>
      <c r="T132" s="64">
        <f t="shared" ref="T132" si="272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273">+SUM(C133)+SUM(B134:B144)</f>
        <v>39.753168000000002</v>
      </c>
      <c r="Q133" s="6">
        <f t="shared" si="273"/>
        <v>33.029599999999995</v>
      </c>
      <c r="R133" s="6">
        <f t="shared" si="273"/>
        <v>34.333800000000004</v>
      </c>
      <c r="S133" s="6">
        <f t="shared" si="273"/>
        <v>38.062900000000006</v>
      </c>
      <c r="T133" s="6">
        <f t="shared" si="273"/>
        <v>44.141799999999996</v>
      </c>
      <c r="U133" s="6">
        <f t="shared" si="273"/>
        <v>40.997600000000006</v>
      </c>
      <c r="V133" s="6">
        <f t="shared" si="273"/>
        <v>30.176238499999993</v>
      </c>
      <c r="W133" s="67">
        <f t="shared" si="273"/>
        <v>19.314699999999998</v>
      </c>
      <c r="X133" s="37">
        <f t="shared" si="273"/>
        <v>19.043800000000001</v>
      </c>
      <c r="Y133" s="78">
        <f t="shared" ref="Y133:Y134" si="274">+X133/W133-1</f>
        <v>-1.4025586729278561E-2</v>
      </c>
      <c r="Z133" s="7">
        <f t="shared" ref="Z133:Z134" si="275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276">+SUM(C133:C134)+SUM(B135:B144)</f>
        <v>39.236497000000007</v>
      </c>
      <c r="Q134" s="6">
        <f t="shared" si="276"/>
        <v>32.910299999999992</v>
      </c>
      <c r="R134" s="6">
        <f t="shared" si="276"/>
        <v>34.587800000000001</v>
      </c>
      <c r="S134" s="6">
        <f t="shared" si="276"/>
        <v>39.221000000000004</v>
      </c>
      <c r="T134" s="6">
        <f t="shared" si="276"/>
        <v>43.460900000000002</v>
      </c>
      <c r="U134" s="6">
        <f t="shared" si="276"/>
        <v>39.813199999999995</v>
      </c>
      <c r="V134" s="6">
        <f t="shared" si="276"/>
        <v>29.562438499999992</v>
      </c>
      <c r="W134" s="67">
        <f t="shared" si="276"/>
        <v>19.3476</v>
      </c>
      <c r="X134" s="37">
        <f t="shared" si="276"/>
        <v>18.851999999999997</v>
      </c>
      <c r="Y134" s="78">
        <f t="shared" si="274"/>
        <v>-2.5615580227005053E-2</v>
      </c>
      <c r="Z134" s="7">
        <f t="shared" si="275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277">+SUM(C133:C135)+SUM(B136:B144)</f>
        <v>38.071178000000003</v>
      </c>
      <c r="Q135" s="6">
        <f t="shared" si="277"/>
        <v>32.695099999999996</v>
      </c>
      <c r="R135" s="6">
        <f t="shared" si="277"/>
        <v>35.178000000000004</v>
      </c>
      <c r="S135" s="6">
        <f t="shared" si="277"/>
        <v>39.376900000000006</v>
      </c>
      <c r="T135" s="6">
        <f t="shared" si="277"/>
        <v>44.049399999999999</v>
      </c>
      <c r="U135" s="6">
        <f t="shared" si="277"/>
        <v>38.81521</v>
      </c>
      <c r="V135" s="6">
        <f t="shared" si="277"/>
        <v>29.338128499999989</v>
      </c>
      <c r="W135" s="67">
        <f t="shared" si="277"/>
        <v>18.2577</v>
      </c>
      <c r="X135" s="37">
        <f t="shared" ref="X135" si="278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/>
      <c r="L136" s="7"/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279">+SUM(C133:C136)+SUM(B137:B144)</f>
        <v>37.17293500000001</v>
      </c>
      <c r="Q136" s="6">
        <f t="shared" si="279"/>
        <v>32.5212</v>
      </c>
      <c r="R136" s="6">
        <f t="shared" si="279"/>
        <v>35.912100000000002</v>
      </c>
      <c r="S136" s="6">
        <f t="shared" si="279"/>
        <v>40.059199999999997</v>
      </c>
      <c r="T136" s="6">
        <f t="shared" si="279"/>
        <v>43.925800000000002</v>
      </c>
      <c r="U136" s="6">
        <f t="shared" si="279"/>
        <v>39.086530499999995</v>
      </c>
      <c r="V136" s="6">
        <f t="shared" si="279"/>
        <v>26.840907999999995</v>
      </c>
      <c r="W136" s="67">
        <f t="shared" si="279"/>
        <v>18.714700000000001</v>
      </c>
      <c r="X136" s="37"/>
      <c r="Y136" s="78"/>
      <c r="Z136" s="7"/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/>
      <c r="L137" s="7"/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280">+SUM(C133:C137)+SUM(B138:B144)</f>
        <v>36.23770300000001</v>
      </c>
      <c r="Q137" s="6">
        <f t="shared" si="280"/>
        <v>32.7607</v>
      </c>
      <c r="R137" s="6">
        <f t="shared" si="280"/>
        <v>36.666600000000003</v>
      </c>
      <c r="S137" s="6">
        <f t="shared" si="280"/>
        <v>41.193199999999997</v>
      </c>
      <c r="T137" s="6">
        <f t="shared" si="280"/>
        <v>42.451900000000002</v>
      </c>
      <c r="U137" s="6">
        <f t="shared" si="280"/>
        <v>39.064355499999991</v>
      </c>
      <c r="V137" s="6">
        <f t="shared" si="280"/>
        <v>25.773082999999996</v>
      </c>
      <c r="W137" s="67">
        <f t="shared" si="280"/>
        <v>18.584500000000002</v>
      </c>
      <c r="X137" s="37"/>
      <c r="Y137" s="78"/>
      <c r="Z137" s="7"/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/>
      <c r="L138" s="7"/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281">+SUM(C133:C138)+SUM(B139:B144)</f>
        <v>36.483429000000008</v>
      </c>
      <c r="Q138" s="6">
        <f t="shared" si="281"/>
        <v>31.847000000000001</v>
      </c>
      <c r="R138" s="6">
        <f t="shared" si="281"/>
        <v>36.648099999999999</v>
      </c>
      <c r="S138" s="6">
        <f t="shared" si="281"/>
        <v>43.029399999999995</v>
      </c>
      <c r="T138" s="6">
        <f t="shared" si="281"/>
        <v>41.61</v>
      </c>
      <c r="U138" s="6">
        <f t="shared" si="281"/>
        <v>38.15677449999999</v>
      </c>
      <c r="V138" s="6">
        <f t="shared" si="281"/>
        <v>24.613664</v>
      </c>
      <c r="W138" s="67">
        <f t="shared" si="281"/>
        <v>18.564900000000002</v>
      </c>
      <c r="X138" s="37"/>
      <c r="Y138" s="78"/>
      <c r="Z138" s="7"/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/>
      <c r="L139" s="7"/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282">+SUM(C133:C139)+SUM(B140:B144)</f>
        <v>36.03990300000001</v>
      </c>
      <c r="Q139" s="6">
        <f t="shared" si="282"/>
        <v>32.411200000000001</v>
      </c>
      <c r="R139" s="6">
        <f t="shared" si="282"/>
        <v>36.732900000000001</v>
      </c>
      <c r="S139" s="6">
        <f t="shared" si="282"/>
        <v>43.769999999999996</v>
      </c>
      <c r="T139" s="6">
        <f t="shared" si="282"/>
        <v>40.739500000000007</v>
      </c>
      <c r="U139" s="6">
        <f t="shared" si="282"/>
        <v>36.826604499999988</v>
      </c>
      <c r="V139" s="6">
        <f t="shared" si="282"/>
        <v>24.160234000000003</v>
      </c>
      <c r="W139" s="67">
        <f t="shared" si="282"/>
        <v>19.084900000000001</v>
      </c>
      <c r="X139" s="37"/>
      <c r="Y139" s="78"/>
      <c r="Z139" s="7"/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/>
      <c r="L140" s="7"/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283">+SUM(C133:C140)+SUM(B141:B144)</f>
        <v>35.796124000000006</v>
      </c>
      <c r="Q140" s="6">
        <f t="shared" si="283"/>
        <v>32.089299999999994</v>
      </c>
      <c r="R140" s="6">
        <f t="shared" si="283"/>
        <v>37.289299999999997</v>
      </c>
      <c r="S140" s="6">
        <f t="shared" si="283"/>
        <v>43.529799999999994</v>
      </c>
      <c r="T140" s="6">
        <f t="shared" si="283"/>
        <v>40.859700000000004</v>
      </c>
      <c r="U140" s="6">
        <f t="shared" si="283"/>
        <v>35.838990499999987</v>
      </c>
      <c r="V140" s="6">
        <f t="shared" si="283"/>
        <v>23.295648000000007</v>
      </c>
      <c r="W140" s="67">
        <f t="shared" si="283"/>
        <v>18.496400000000001</v>
      </c>
      <c r="X140" s="37"/>
      <c r="Y140" s="78"/>
      <c r="Z140" s="7"/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/>
      <c r="L141" s="7"/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284">+SUM(C133:C141)+SUM(B142:B144)</f>
        <v>34.751332000000005</v>
      </c>
      <c r="Q141" s="6">
        <f t="shared" si="284"/>
        <v>32.050699999999999</v>
      </c>
      <c r="R141" s="6">
        <f t="shared" si="284"/>
        <v>37.198599999999999</v>
      </c>
      <c r="S141" s="6">
        <f t="shared" si="284"/>
        <v>45.494900000000001</v>
      </c>
      <c r="T141" s="6">
        <f t="shared" si="284"/>
        <v>40.081299999999999</v>
      </c>
      <c r="U141" s="6">
        <f t="shared" si="284"/>
        <v>35.50965149999999</v>
      </c>
      <c r="V141" s="6">
        <f t="shared" si="284"/>
        <v>22.186187000000004</v>
      </c>
      <c r="W141" s="67">
        <f t="shared" si="284"/>
        <v>18.109200000000001</v>
      </c>
      <c r="X141" s="37"/>
      <c r="Y141" s="78"/>
      <c r="Z141" s="7"/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/>
      <c r="L142" s="7"/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285">+SUM(C133:C142)+SUM(B143:B144)</f>
        <v>34.131799999999998</v>
      </c>
      <c r="Q142" s="6">
        <f t="shared" si="285"/>
        <v>32.537899999999993</v>
      </c>
      <c r="R142" s="6">
        <f t="shared" si="285"/>
        <v>37.845300000000002</v>
      </c>
      <c r="S142" s="6">
        <f t="shared" si="285"/>
        <v>44.881499999999996</v>
      </c>
      <c r="T142" s="6">
        <f t="shared" si="285"/>
        <v>40.380800000000008</v>
      </c>
      <c r="U142" s="6">
        <f t="shared" si="285"/>
        <v>34.353038499999997</v>
      </c>
      <c r="V142" s="6">
        <f t="shared" si="285"/>
        <v>21.068700000000003</v>
      </c>
      <c r="W142" s="67">
        <f t="shared" si="285"/>
        <v>18.634399999999999</v>
      </c>
      <c r="X142" s="37"/>
      <c r="Y142" s="78"/>
      <c r="Z142" s="7"/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286">+SUM(C133:C143)+SUM(B144)</f>
        <v>34.186199999999999</v>
      </c>
      <c r="Q143" s="6">
        <f t="shared" si="286"/>
        <v>33.037500000000001</v>
      </c>
      <c r="R143" s="6">
        <f t="shared" si="286"/>
        <v>37.432000000000002</v>
      </c>
      <c r="S143" s="6">
        <f t="shared" si="286"/>
        <v>45.148199999999996</v>
      </c>
      <c r="T143" s="6">
        <f t="shared" si="286"/>
        <v>40.449000000000005</v>
      </c>
      <c r="U143" s="6">
        <f t="shared" si="286"/>
        <v>33.523038499999991</v>
      </c>
      <c r="V143" s="6">
        <f t="shared" si="286"/>
        <v>20.396800000000006</v>
      </c>
      <c r="W143" s="67">
        <f t="shared" si="286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287">+SUM(C133:C144)</f>
        <v>33.7087</v>
      </c>
      <c r="Q144" s="6">
        <f t="shared" si="287"/>
        <v>33.227199999999996</v>
      </c>
      <c r="R144" s="6">
        <f t="shared" si="287"/>
        <v>37.770600000000002</v>
      </c>
      <c r="S144" s="6">
        <f t="shared" si="287"/>
        <v>45.222799999999992</v>
      </c>
      <c r="T144" s="6">
        <f t="shared" si="287"/>
        <v>41.056100000000008</v>
      </c>
      <c r="U144" s="6">
        <f t="shared" si="287"/>
        <v>31.281738499999996</v>
      </c>
      <c r="V144" s="6">
        <f t="shared" si="287"/>
        <v>20.173200000000005</v>
      </c>
      <c r="W144" s="67">
        <f t="shared" si="287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288">SUM(C133:C144)</f>
        <v>33.7087</v>
      </c>
      <c r="D145" s="159">
        <f t="shared" ref="D145" si="289">SUM(D133:D144)</f>
        <v>33.227199999999996</v>
      </c>
      <c r="E145" s="159">
        <f t="shared" ref="E145" si="290">SUM(E133:E144)</f>
        <v>37.770600000000002</v>
      </c>
      <c r="F145" s="159">
        <f t="shared" ref="F145" si="291">SUM(F133:F144)</f>
        <v>45.222799999999992</v>
      </c>
      <c r="G145" s="159">
        <f t="shared" ref="G145:I145" si="292">SUM(G133:G144)</f>
        <v>41.056100000000008</v>
      </c>
      <c r="H145" s="159">
        <f t="shared" si="292"/>
        <v>31.281738499999996</v>
      </c>
      <c r="I145" s="159">
        <f t="shared" si="292"/>
        <v>20.173200000000005</v>
      </c>
      <c r="J145" s="216">
        <f t="shared" ref="J145" si="293">SUM(J133:J144)</f>
        <v>19.0167</v>
      </c>
      <c r="K145" s="216"/>
      <c r="L145" s="56"/>
      <c r="M145" s="3"/>
      <c r="N145" s="43" t="s">
        <v>14</v>
      </c>
      <c r="O145" s="46">
        <f t="shared" ref="O145" si="294">+AVERAGE(O133:O144)</f>
        <v>40.092438083333398</v>
      </c>
      <c r="P145" s="46">
        <f>+AVERAGE(P133:P144)</f>
        <v>36.297414083333337</v>
      </c>
      <c r="Q145" s="46">
        <f t="shared" ref="Q145:W145" si="295">+AVERAGE(Q133:Q144)</f>
        <v>32.593141666666668</v>
      </c>
      <c r="R145" s="46">
        <f t="shared" si="295"/>
        <v>36.466258333333336</v>
      </c>
      <c r="S145" s="46">
        <f t="shared" si="295"/>
        <v>42.415816666666665</v>
      </c>
      <c r="T145" s="46">
        <f t="shared" si="295"/>
        <v>41.933850000000007</v>
      </c>
      <c r="U145" s="226">
        <f t="shared" si="295"/>
        <v>36.938894374999997</v>
      </c>
      <c r="V145" s="226">
        <f t="shared" si="295"/>
        <v>24.798769124999996</v>
      </c>
      <c r="W145" s="220">
        <f t="shared" si="295"/>
        <v>18.739241666666668</v>
      </c>
      <c r="X145" s="220">
        <f t="shared" ref="X145" si="296">+AVERAGE(X133:X144)</f>
        <v>18.962633333333329</v>
      </c>
      <c r="Y145" s="79">
        <f>+X145/W145-1</f>
        <v>1.1921062262835846E-2</v>
      </c>
      <c r="Z145" s="75">
        <f>+POWER(X145/S145,0.2)-1</f>
        <v>-0.14871660371872264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297">+C145/C$163</f>
        <v>0.17204987648271777</v>
      </c>
      <c r="D146" s="58">
        <f t="shared" si="297"/>
        <v>0.171421171860208</v>
      </c>
      <c r="E146" s="58">
        <f t="shared" si="297"/>
        <v>0.17772777449964569</v>
      </c>
      <c r="F146" s="58">
        <f t="shared" si="297"/>
        <v>0.1742857693419404</v>
      </c>
      <c r="G146" s="58">
        <f t="shared" ref="G146:I146" si="298">+G145/G$163</f>
        <v>0.15337352953262581</v>
      </c>
      <c r="H146" s="58">
        <f t="shared" si="298"/>
        <v>0.13532300081976609</v>
      </c>
      <c r="I146" s="58">
        <f t="shared" si="298"/>
        <v>0.11189002018359923</v>
      </c>
      <c r="J146" s="189">
        <f t="shared" ref="J146" si="299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300">+P145/P$163</f>
        <v>0.17610006031618225</v>
      </c>
      <c r="Q146" s="48">
        <f t="shared" ref="Q146" si="301">+Q145/Q$163</f>
        <v>0.17002017849528564</v>
      </c>
      <c r="R146" s="48">
        <f t="shared" ref="R146" si="302">+R145/R$163</f>
        <v>0.17757759133996009</v>
      </c>
      <c r="S146" s="48">
        <f t="shared" ref="S146:W146" si="303">+S145/S$163</f>
        <v>0.17960453957630046</v>
      </c>
      <c r="T146" s="48">
        <f t="shared" si="303"/>
        <v>0.1577736060676122</v>
      </c>
      <c r="U146" s="58">
        <f t="shared" si="303"/>
        <v>0.1459356721074172</v>
      </c>
      <c r="V146" s="58">
        <f t="shared" si="303"/>
        <v>0.12366720446839766</v>
      </c>
      <c r="W146" s="189">
        <f t="shared" si="303"/>
        <v>0.10446278253604072</v>
      </c>
      <c r="X146" s="189">
        <f t="shared" ref="X146" si="304">+X145/X$163</f>
        <v>0.10495889588538188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05">+D145/C145-1</f>
        <v>-1.4284146229311845E-2</v>
      </c>
      <c r="E147" s="62">
        <f t="shared" ref="E147" si="306">+E145/D145-1</f>
        <v>0.13673737179178524</v>
      </c>
      <c r="F147" s="62">
        <f t="shared" ref="F147:J147" si="307">+F145/E145-1</f>
        <v>0.19730160495199955</v>
      </c>
      <c r="G147" s="62">
        <f t="shared" si="307"/>
        <v>-9.2137152056042226E-2</v>
      </c>
      <c r="H147" s="62">
        <f t="shared" si="307"/>
        <v>-0.23807330701162577</v>
      </c>
      <c r="I147" s="62">
        <f t="shared" si="307"/>
        <v>-0.35511256831201987</v>
      </c>
      <c r="J147" s="190">
        <f t="shared" si="307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308">+Q145/P145-1</f>
        <v>-0.10205334209655326</v>
      </c>
      <c r="R147" s="50">
        <f t="shared" ref="R147" si="309">+R145/Q145-1</f>
        <v>0.11883225944517473</v>
      </c>
      <c r="S147" s="50">
        <f t="shared" ref="S147" si="310">+S145/R145-1</f>
        <v>0.16315242103944927</v>
      </c>
      <c r="T147" s="50">
        <f t="shared" ref="T147" si="311">+T145/S145-1</f>
        <v>-1.1362899610168786E-2</v>
      </c>
      <c r="U147" s="62">
        <f t="shared" ref="U147" si="312">+U145/T145-1</f>
        <v>-0.11911512119683765</v>
      </c>
      <c r="V147" s="62">
        <f t="shared" ref="V147" si="313">+V145/U145-1</f>
        <v>-0.3286542668753063</v>
      </c>
      <c r="W147" s="190">
        <f t="shared" ref="W147:X147" si="314">+W145/V145-1</f>
        <v>-0.24434791209958207</v>
      </c>
      <c r="X147" s="190">
        <f t="shared" si="314"/>
        <v>1.1921062262835846E-2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28" t="s">
        <v>63</v>
      </c>
      <c r="B149" s="329"/>
      <c r="C149" s="329"/>
      <c r="D149" s="329"/>
      <c r="E149" s="329"/>
      <c r="F149" s="329"/>
      <c r="G149" s="329"/>
      <c r="H149" s="329"/>
      <c r="I149" s="329"/>
      <c r="J149" s="329"/>
      <c r="K149" s="329"/>
      <c r="L149" s="330"/>
      <c r="M149" s="2"/>
      <c r="N149" s="328" t="s">
        <v>64</v>
      </c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30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315">+C150+1</f>
        <v>2018</v>
      </c>
      <c r="E150" s="39">
        <f t="shared" si="315"/>
        <v>2019</v>
      </c>
      <c r="F150" s="39">
        <f t="shared" si="315"/>
        <v>2020</v>
      </c>
      <c r="G150" s="39">
        <f t="shared" si="315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16">+P150+1</f>
        <v>2018</v>
      </c>
      <c r="R150" s="64">
        <f t="shared" si="316"/>
        <v>2019</v>
      </c>
      <c r="S150" s="64">
        <f t="shared" si="316"/>
        <v>2020</v>
      </c>
      <c r="T150" s="64">
        <f t="shared" si="316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317">+SUM(C151)+SUM(B152:B162)</f>
        <v>218.66700999999998</v>
      </c>
      <c r="Q151" s="6">
        <f t="shared" si="317"/>
        <v>192.06950000000001</v>
      </c>
      <c r="R151" s="6">
        <f t="shared" si="317"/>
        <v>197.08439999999996</v>
      </c>
      <c r="S151" s="6">
        <f t="shared" si="317"/>
        <v>215.55779999999999</v>
      </c>
      <c r="T151" s="6">
        <f t="shared" si="317"/>
        <v>258.89019999999999</v>
      </c>
      <c r="U151" s="6">
        <f t="shared" si="317"/>
        <v>264.4631</v>
      </c>
      <c r="V151" s="6">
        <f t="shared" si="317"/>
        <v>229.0514</v>
      </c>
      <c r="W151" s="67">
        <f t="shared" si="317"/>
        <v>178.58790000000002</v>
      </c>
      <c r="X151" s="37">
        <f t="shared" si="317"/>
        <v>181.01159999999999</v>
      </c>
      <c r="Y151" s="78">
        <f t="shared" ref="Y151:Y152" si="318">+X151/W151-1</f>
        <v>1.3571468167776102E-2</v>
      </c>
      <c r="Z151" s="7">
        <f t="shared" ref="Z151:Z152" si="319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320">+SUM(C151:C152)+SUM(B153:B162)</f>
        <v>213.93590399999999</v>
      </c>
      <c r="Q152" s="6">
        <f t="shared" si="320"/>
        <v>193.46289999999999</v>
      </c>
      <c r="R152" s="6">
        <f t="shared" si="320"/>
        <v>199.08329999999998</v>
      </c>
      <c r="S152" s="6">
        <f t="shared" si="320"/>
        <v>218.08240000000001</v>
      </c>
      <c r="T152" s="6">
        <f t="shared" si="320"/>
        <v>260.74520000000001</v>
      </c>
      <c r="U152" s="6">
        <f t="shared" si="320"/>
        <v>263.69439999999997</v>
      </c>
      <c r="V152" s="6">
        <f t="shared" si="320"/>
        <v>222.7884</v>
      </c>
      <c r="W152" s="67">
        <f t="shared" si="320"/>
        <v>178.91380000000001</v>
      </c>
      <c r="X152" s="37">
        <f t="shared" si="320"/>
        <v>180.52250000000001</v>
      </c>
      <c r="Y152" s="78">
        <f t="shared" si="318"/>
        <v>8.99148081366552E-3</v>
      </c>
      <c r="Z152" s="7">
        <f t="shared" si="319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321">+SUM(C151:C153)+SUM(B154:B162)</f>
        <v>210.86694900000001</v>
      </c>
      <c r="Q153" s="6">
        <f t="shared" si="321"/>
        <v>192.61369999999999</v>
      </c>
      <c r="R153" s="6">
        <f t="shared" si="321"/>
        <v>200.15099999999995</v>
      </c>
      <c r="S153" s="6">
        <f t="shared" si="321"/>
        <v>218.87199999999999</v>
      </c>
      <c r="T153" s="6">
        <f t="shared" si="321"/>
        <v>267.34929999999997</v>
      </c>
      <c r="U153" s="6">
        <f t="shared" si="321"/>
        <v>261.53949999999998</v>
      </c>
      <c r="V153" s="6">
        <f t="shared" si="321"/>
        <v>218.8296</v>
      </c>
      <c r="W153" s="67">
        <f t="shared" si="321"/>
        <v>174.87090000000001</v>
      </c>
      <c r="X153" s="37">
        <f t="shared" ref="X153" si="322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/>
      <c r="L154" s="7"/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323">+SUM(C151:C154)+SUM(B155:B162)</f>
        <v>207.32515100000003</v>
      </c>
      <c r="Q154" s="6">
        <f t="shared" si="323"/>
        <v>191.845</v>
      </c>
      <c r="R154" s="6">
        <f t="shared" si="323"/>
        <v>203.49129999999997</v>
      </c>
      <c r="S154" s="6">
        <f t="shared" si="323"/>
        <v>221.9622</v>
      </c>
      <c r="T154" s="6">
        <f t="shared" si="323"/>
        <v>268.00189999999998</v>
      </c>
      <c r="U154" s="6">
        <f t="shared" si="323"/>
        <v>261.89639999999997</v>
      </c>
      <c r="V154" s="6">
        <f t="shared" si="323"/>
        <v>210.91139999999999</v>
      </c>
      <c r="W154" s="67">
        <f t="shared" si="323"/>
        <v>177.95439999999999</v>
      </c>
      <c r="X154" s="37"/>
      <c r="Y154" s="78"/>
      <c r="Z154" s="7"/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/>
      <c r="L155" s="7"/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324">+SUM(C151:C155)+SUM(B156:B162)</f>
        <v>204.96667300000001</v>
      </c>
      <c r="Q155" s="6">
        <f t="shared" si="324"/>
        <v>192.14800000000002</v>
      </c>
      <c r="R155" s="6">
        <f t="shared" si="324"/>
        <v>205.9821</v>
      </c>
      <c r="S155" s="6">
        <f t="shared" si="324"/>
        <v>225.42620000000002</v>
      </c>
      <c r="T155" s="6">
        <f t="shared" si="324"/>
        <v>268.8972</v>
      </c>
      <c r="U155" s="6">
        <f t="shared" si="324"/>
        <v>258.22409999999996</v>
      </c>
      <c r="V155" s="6">
        <f t="shared" si="324"/>
        <v>208.00879999999998</v>
      </c>
      <c r="W155" s="67">
        <f t="shared" si="324"/>
        <v>177.30029999999999</v>
      </c>
      <c r="X155" s="37"/>
      <c r="Y155" s="78"/>
      <c r="Z155" s="7"/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/>
      <c r="L156" s="7"/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325">+SUM(C151:C156)+SUM(B157:B162)</f>
        <v>206.70466299999998</v>
      </c>
      <c r="Q156" s="6">
        <f t="shared" si="325"/>
        <v>189.16500000000002</v>
      </c>
      <c r="R156" s="6">
        <f t="shared" si="325"/>
        <v>206.0352</v>
      </c>
      <c r="S156" s="6">
        <f t="shared" si="325"/>
        <v>231.75970000000001</v>
      </c>
      <c r="T156" s="6">
        <f t="shared" si="325"/>
        <v>271.23419999999999</v>
      </c>
      <c r="U156" s="6">
        <f t="shared" si="325"/>
        <v>257.71130000000005</v>
      </c>
      <c r="V156" s="6">
        <f t="shared" si="325"/>
        <v>198.5821</v>
      </c>
      <c r="W156" s="67">
        <f t="shared" si="325"/>
        <v>174.72070000000002</v>
      </c>
      <c r="X156" s="37"/>
      <c r="Y156" s="78"/>
      <c r="Z156" s="7"/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/>
      <c r="L157" s="7"/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326">+SUM(C151:C157)+SUM(B158:B162)</f>
        <v>207.44877600000001</v>
      </c>
      <c r="Q157" s="6">
        <f t="shared" si="326"/>
        <v>192.2388</v>
      </c>
      <c r="R157" s="6">
        <f t="shared" si="326"/>
        <v>204.96940000000001</v>
      </c>
      <c r="S157" s="6">
        <f t="shared" si="326"/>
        <v>238.67080000000004</v>
      </c>
      <c r="T157" s="6">
        <f t="shared" si="326"/>
        <v>268.54399999999998</v>
      </c>
      <c r="U157" s="6">
        <f t="shared" si="326"/>
        <v>251.86340000000001</v>
      </c>
      <c r="V157" s="6">
        <f t="shared" si="326"/>
        <v>196.6584</v>
      </c>
      <c r="W157" s="67">
        <f t="shared" si="326"/>
        <v>180.06270000000001</v>
      </c>
      <c r="X157" s="37"/>
      <c r="Y157" s="78"/>
      <c r="Z157" s="7"/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/>
      <c r="L158" s="7"/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327">+SUM(C151:C158)+SUM(B159:B162)</f>
        <v>205.13708699999998</v>
      </c>
      <c r="Q158" s="6">
        <f t="shared" si="327"/>
        <v>190.66059999999999</v>
      </c>
      <c r="R158" s="6">
        <f t="shared" si="327"/>
        <v>206.73560000000003</v>
      </c>
      <c r="S158" s="6">
        <f t="shared" si="327"/>
        <v>241.77030000000002</v>
      </c>
      <c r="T158" s="6">
        <f t="shared" si="327"/>
        <v>266.40409999999997</v>
      </c>
      <c r="U158" s="6">
        <f t="shared" si="327"/>
        <v>251.6679</v>
      </c>
      <c r="V158" s="6">
        <f t="shared" si="327"/>
        <v>191.11009999999999</v>
      </c>
      <c r="W158" s="67">
        <f t="shared" si="327"/>
        <v>181.4787</v>
      </c>
      <c r="X158" s="37"/>
      <c r="Y158" s="78"/>
      <c r="Z158" s="7"/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/>
      <c r="L159" s="7"/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328">+SUM(C151:C159)+SUM(B160:B162)</f>
        <v>202.10667599999999</v>
      </c>
      <c r="Q159" s="6">
        <f t="shared" si="328"/>
        <v>189.80310000000003</v>
      </c>
      <c r="R159" s="6">
        <f t="shared" si="328"/>
        <v>207.68270000000001</v>
      </c>
      <c r="S159" s="6">
        <f t="shared" si="328"/>
        <v>249.87510000000003</v>
      </c>
      <c r="T159" s="6">
        <f t="shared" si="328"/>
        <v>265.3322</v>
      </c>
      <c r="U159" s="6">
        <f t="shared" si="328"/>
        <v>250.25059999999999</v>
      </c>
      <c r="V159" s="6">
        <f t="shared" si="328"/>
        <v>185.82730000000001</v>
      </c>
      <c r="W159" s="67">
        <f t="shared" si="328"/>
        <v>180.40370000000001</v>
      </c>
      <c r="X159" s="37"/>
      <c r="Y159" s="78"/>
      <c r="Z159" s="7"/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/>
      <c r="L160" s="7"/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329">+SUM(C151:C160)+SUM(B161:B162)</f>
        <v>200.42869999999999</v>
      </c>
      <c r="Q160" s="6">
        <f t="shared" si="329"/>
        <v>190.6815</v>
      </c>
      <c r="R160" s="6">
        <f t="shared" si="329"/>
        <v>209.74439999999998</v>
      </c>
      <c r="S160" s="6">
        <f t="shared" si="329"/>
        <v>254.1551</v>
      </c>
      <c r="T160" s="6">
        <f t="shared" si="329"/>
        <v>262.24329999999998</v>
      </c>
      <c r="U160" s="6">
        <f t="shared" si="329"/>
        <v>245.87060000000002</v>
      </c>
      <c r="V160" s="6">
        <f t="shared" si="329"/>
        <v>183.4477</v>
      </c>
      <c r="W160" s="67">
        <f t="shared" si="329"/>
        <v>182.1138</v>
      </c>
      <c r="X160" s="37"/>
      <c r="Y160" s="78"/>
      <c r="Z160" s="7"/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330">+SUM(C151:C161)+SUM(B162)</f>
        <v>199.9059</v>
      </c>
      <c r="Q161" s="6">
        <f t="shared" si="330"/>
        <v>191.89750000000001</v>
      </c>
      <c r="R161" s="6">
        <f t="shared" si="330"/>
        <v>210.76849999999999</v>
      </c>
      <c r="S161" s="6">
        <f t="shared" si="330"/>
        <v>258.34070000000003</v>
      </c>
      <c r="T161" s="6">
        <f t="shared" si="330"/>
        <v>264.0908</v>
      </c>
      <c r="U161" s="6">
        <f t="shared" si="330"/>
        <v>239.06700000000001</v>
      </c>
      <c r="V161" s="6">
        <f t="shared" si="330"/>
        <v>180.82900000000001</v>
      </c>
      <c r="W161" s="67">
        <f t="shared" si="330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331">+SUM(C151:C162)</f>
        <v>195.92400000000001</v>
      </c>
      <c r="Q162" s="6">
        <f t="shared" si="331"/>
        <v>193.83369999999999</v>
      </c>
      <c r="R162" s="6">
        <f t="shared" si="331"/>
        <v>212.51939999999999</v>
      </c>
      <c r="S162" s="6">
        <f t="shared" si="331"/>
        <v>259.47500000000002</v>
      </c>
      <c r="T162" s="6">
        <f t="shared" si="331"/>
        <v>267.68700000000001</v>
      </c>
      <c r="U162" s="6">
        <f t="shared" si="331"/>
        <v>231.1635</v>
      </c>
      <c r="V162" s="6">
        <f t="shared" si="331"/>
        <v>180.29490000000001</v>
      </c>
      <c r="W162" s="67">
        <f t="shared" si="331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332">SUM(C151:C162)</f>
        <v>195.92400000000001</v>
      </c>
      <c r="D163" s="159">
        <f t="shared" si="332"/>
        <v>193.83369999999999</v>
      </c>
      <c r="E163" s="159">
        <f t="shared" si="332"/>
        <v>212.51939999999999</v>
      </c>
      <c r="F163" s="159">
        <f t="shared" si="332"/>
        <v>259.47500000000002</v>
      </c>
      <c r="G163" s="159">
        <f t="shared" ref="G163:H163" si="333">SUM(G151:G162)</f>
        <v>267.68700000000001</v>
      </c>
      <c r="H163" s="159">
        <f t="shared" si="333"/>
        <v>231.1635</v>
      </c>
      <c r="I163" s="159">
        <f t="shared" ref="I163" si="334">SUM(I151:I162)</f>
        <v>180.29490000000001</v>
      </c>
      <c r="J163" s="216">
        <f t="shared" ref="J163" si="335">SUM(J151:J162)</f>
        <v>183.05249999999998</v>
      </c>
      <c r="K163" s="216"/>
      <c r="L163" s="56"/>
      <c r="M163" s="3"/>
      <c r="N163" s="43" t="s">
        <v>14</v>
      </c>
      <c r="O163" s="46">
        <f t="shared" ref="O163" si="336">+AVERAGE(O151:O162)</f>
        <v>216.08801050000011</v>
      </c>
      <c r="P163" s="46">
        <f>+AVERAGE(P151:P162)</f>
        <v>206.11812408333333</v>
      </c>
      <c r="Q163" s="46">
        <f t="shared" ref="Q163:W163" si="337">+AVERAGE(Q151:Q162)</f>
        <v>191.70160833333333</v>
      </c>
      <c r="R163" s="46">
        <f t="shared" si="337"/>
        <v>205.35394166666666</v>
      </c>
      <c r="S163" s="46">
        <f t="shared" si="337"/>
        <v>236.16227500000005</v>
      </c>
      <c r="T163" s="46">
        <f t="shared" si="337"/>
        <v>265.78494999999998</v>
      </c>
      <c r="U163" s="226">
        <f t="shared" si="337"/>
        <v>253.11765000000003</v>
      </c>
      <c r="V163" s="226">
        <f t="shared" si="337"/>
        <v>200.5282583333333</v>
      </c>
      <c r="W163" s="220">
        <f t="shared" si="337"/>
        <v>179.38677500000003</v>
      </c>
      <c r="X163" s="197">
        <f t="shared" ref="X163" si="338">+AVERAGE(X151:X162)</f>
        <v>180.66723333333334</v>
      </c>
      <c r="Y163" s="79">
        <f>+X163/W163-1</f>
        <v>7.1379751006355185E-3</v>
      </c>
      <c r="Z163" s="75">
        <f>+POWER(X163/S163,0.2)-1</f>
        <v>-5.2162746581067232E-2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339">+D163/C163-1</f>
        <v>-1.0668932851513935E-2</v>
      </c>
      <c r="E164" s="62">
        <f t="shared" si="339"/>
        <v>9.6400677487970432E-2</v>
      </c>
      <c r="F164" s="62">
        <f t="shared" si="339"/>
        <v>0.22094735821764999</v>
      </c>
      <c r="G164" s="62">
        <f t="shared" si="339"/>
        <v>3.1648521052124456E-2</v>
      </c>
      <c r="H164" s="62">
        <f t="shared" si="339"/>
        <v>-0.13644106736599093</v>
      </c>
      <c r="I164" s="62">
        <f t="shared" si="339"/>
        <v>-0.22005463665327785</v>
      </c>
      <c r="J164" s="190">
        <f t="shared" si="339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340">+Q163/P163-1</f>
        <v>-6.9942979609941669E-2</v>
      </c>
      <c r="R164" s="50">
        <f t="shared" si="340"/>
        <v>7.1216582124832728E-2</v>
      </c>
      <c r="S164" s="50">
        <f t="shared" si="340"/>
        <v>0.15002552706459316</v>
      </c>
      <c r="T164" s="50">
        <f t="shared" si="340"/>
        <v>0.12543356046176268</v>
      </c>
      <c r="U164" s="62">
        <f t="shared" si="340"/>
        <v>-4.7659959677927466E-2</v>
      </c>
      <c r="V164" s="62">
        <f t="shared" ref="V164" si="341">+V163/U163-1</f>
        <v>-0.20776659259702646</v>
      </c>
      <c r="W164" s="70">
        <f t="shared" ref="W164:X164" si="342">+W163/V163-1</f>
        <v>-0.10542894806471759</v>
      </c>
      <c r="X164" s="73">
        <f t="shared" si="342"/>
        <v>7.1379751006355185E-3</v>
      </c>
      <c r="Y164" s="73"/>
      <c r="Z164" s="52"/>
    </row>
    <row r="165" spans="1:26" ht="15.75" thickBot="1" x14ac:dyDescent="0.3"/>
    <row r="166" spans="1:26" ht="15.75" thickBot="1" x14ac:dyDescent="0.3">
      <c r="A166" s="335" t="s">
        <v>65</v>
      </c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7"/>
      <c r="M166" s="2"/>
      <c r="N166" s="335" t="s">
        <v>66</v>
      </c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  <c r="Y166" s="336"/>
      <c r="Z166" s="337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343">+C167+1</f>
        <v>2018</v>
      </c>
      <c r="E167" s="82">
        <f t="shared" ref="E167" si="344">+D167+1</f>
        <v>2019</v>
      </c>
      <c r="F167" s="82">
        <f t="shared" ref="F167" si="345">+E167+1</f>
        <v>2020</v>
      </c>
      <c r="G167" s="82">
        <f t="shared" ref="G167" si="346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347">+P167+1</f>
        <v>2018</v>
      </c>
      <c r="R167" s="82">
        <f t="shared" ref="R167" si="348">+Q167+1</f>
        <v>2019</v>
      </c>
      <c r="S167" s="82">
        <f t="shared" ref="S167" si="349">+R167+1</f>
        <v>2020</v>
      </c>
      <c r="T167" s="82">
        <f t="shared" ref="T167" si="350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351">+SUM(C168)+SUM(B169:B179)</f>
        <v>486.27804000000003</v>
      </c>
      <c r="Q168" s="6">
        <f t="shared" si="351"/>
        <v>475.75100000000003</v>
      </c>
      <c r="R168" s="6">
        <f t="shared" si="351"/>
        <v>486.10700000000003</v>
      </c>
      <c r="S168" s="6">
        <f t="shared" si="351"/>
        <v>475.99500000000006</v>
      </c>
      <c r="T168" s="6">
        <f t="shared" si="351"/>
        <v>462.42500000000001</v>
      </c>
      <c r="U168" s="6">
        <f t="shared" si="351"/>
        <v>528.22199999999998</v>
      </c>
      <c r="V168" s="6">
        <f t="shared" si="351"/>
        <v>489.85046999999992</v>
      </c>
      <c r="W168" s="105">
        <f t="shared" si="351"/>
        <v>419.78300000000002</v>
      </c>
      <c r="X168" s="90">
        <f t="shared" si="351"/>
        <v>430.79700000000003</v>
      </c>
      <c r="Y168" s="117">
        <f t="shared" ref="Y168:Y169" si="352">+X168/W168-1</f>
        <v>2.6237365495982434E-2</v>
      </c>
      <c r="Z168" s="113">
        <f t="shared" ref="Z168:Z169" si="353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354">+SUM(C168:C169)+SUM(B170:B179)</f>
        <v>478.91455999999999</v>
      </c>
      <c r="Q169" s="6">
        <f t="shared" si="354"/>
        <v>482.476</v>
      </c>
      <c r="R169" s="6">
        <f t="shared" si="354"/>
        <v>488.26600000000002</v>
      </c>
      <c r="S169" s="6">
        <f t="shared" si="354"/>
        <v>471.97900000000004</v>
      </c>
      <c r="T169" s="6">
        <f t="shared" si="354"/>
        <v>469.22599999999994</v>
      </c>
      <c r="U169" s="6">
        <f t="shared" si="354"/>
        <v>530.71720000000005</v>
      </c>
      <c r="V169" s="6">
        <f t="shared" si="354"/>
        <v>476.55926999999997</v>
      </c>
      <c r="W169" s="105">
        <f t="shared" si="354"/>
        <v>422.60399999999998</v>
      </c>
      <c r="X169" s="90">
        <f t="shared" si="354"/>
        <v>430.291</v>
      </c>
      <c r="Y169" s="117">
        <f t="shared" si="352"/>
        <v>1.8189605398907682E-2</v>
      </c>
      <c r="Z169" s="113">
        <f t="shared" si="353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355">+SUM(C168:C170)+SUM(B171:B179)</f>
        <v>478.27336999999994</v>
      </c>
      <c r="Q170" s="6">
        <f t="shared" si="355"/>
        <v>483.15700000000004</v>
      </c>
      <c r="R170" s="6">
        <f t="shared" si="355"/>
        <v>484.33100000000002</v>
      </c>
      <c r="S170" s="6">
        <f t="shared" si="355"/>
        <v>469.524</v>
      </c>
      <c r="T170" s="6">
        <f t="shared" si="355"/>
        <v>478.97199999999998</v>
      </c>
      <c r="U170" s="6">
        <f t="shared" si="355"/>
        <v>531.87940000000003</v>
      </c>
      <c r="V170" s="6">
        <f t="shared" si="355"/>
        <v>470.82706999999999</v>
      </c>
      <c r="W170" s="105">
        <f t="shared" si="355"/>
        <v>417.42399999999998</v>
      </c>
      <c r="X170" s="90">
        <f t="shared" ref="X170" si="356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/>
      <c r="L171" s="113"/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357">+SUM(C168:C171)+SUM(B172:B179)</f>
        <v>474.60085999999995</v>
      </c>
      <c r="Q171" s="6">
        <f t="shared" si="357"/>
        <v>483.19299999999998</v>
      </c>
      <c r="R171" s="6">
        <f t="shared" si="357"/>
        <v>488.48400000000004</v>
      </c>
      <c r="S171" s="6">
        <f t="shared" si="357"/>
        <v>465.88799999999998</v>
      </c>
      <c r="T171" s="6">
        <f t="shared" si="357"/>
        <v>483.64600000000002</v>
      </c>
      <c r="U171" s="6">
        <f t="shared" si="357"/>
        <v>531.54279999999994</v>
      </c>
      <c r="V171" s="6">
        <f t="shared" si="357"/>
        <v>461.11766999999998</v>
      </c>
      <c r="W171" s="105">
        <f t="shared" si="357"/>
        <v>424.35100000000006</v>
      </c>
      <c r="X171" s="90"/>
      <c r="Y171" s="117"/>
      <c r="Z171" s="113"/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/>
      <c r="L172" s="113"/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358">+SUM(C168:C172)+SUM(B173:B179)</f>
        <v>474.15642000000003</v>
      </c>
      <c r="Q172" s="6">
        <f t="shared" si="358"/>
        <v>486.63400000000001</v>
      </c>
      <c r="R172" s="6">
        <f t="shared" si="358"/>
        <v>488.71899999999999</v>
      </c>
      <c r="S172" s="6">
        <f t="shared" si="358"/>
        <v>457.78800000000001</v>
      </c>
      <c r="T172" s="6">
        <f t="shared" si="358"/>
        <v>492.44</v>
      </c>
      <c r="U172" s="6">
        <f t="shared" si="358"/>
        <v>531.23599999999999</v>
      </c>
      <c r="V172" s="6">
        <f t="shared" si="358"/>
        <v>454.62046999999995</v>
      </c>
      <c r="W172" s="105">
        <f t="shared" si="358"/>
        <v>423.10700000000003</v>
      </c>
      <c r="X172" s="90"/>
      <c r="Y172" s="117"/>
      <c r="Z172" s="113"/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/>
      <c r="L173" s="113"/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359">+SUM(C168:C173)+SUM(B174:B179)</f>
        <v>478.66609000000005</v>
      </c>
      <c r="Q173" s="6">
        <f t="shared" si="359"/>
        <v>484.52600000000001</v>
      </c>
      <c r="R173" s="6">
        <f t="shared" si="359"/>
        <v>487.887</v>
      </c>
      <c r="S173" s="6">
        <f t="shared" si="359"/>
        <v>455.60300000000001</v>
      </c>
      <c r="T173" s="6">
        <f t="shared" si="359"/>
        <v>506.142</v>
      </c>
      <c r="U173" s="6">
        <f t="shared" si="359"/>
        <v>530.99596999999994</v>
      </c>
      <c r="V173" s="6">
        <f t="shared" si="359"/>
        <v>440.24450000000002</v>
      </c>
      <c r="W173" s="105">
        <f t="shared" si="359"/>
        <v>414.20800000000003</v>
      </c>
      <c r="X173" s="90"/>
      <c r="Y173" s="117"/>
      <c r="Z173" s="113"/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/>
      <c r="L174" s="113"/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360">+SUM(C168:C174)+SUM(B175:B179)</f>
        <v>483.17200000000003</v>
      </c>
      <c r="Q174" s="6">
        <f t="shared" si="360"/>
        <v>490.774</v>
      </c>
      <c r="R174" s="6">
        <f t="shared" si="360"/>
        <v>481.35599999999999</v>
      </c>
      <c r="S174" s="6">
        <f t="shared" si="360"/>
        <v>460.56399999999996</v>
      </c>
      <c r="T174" s="6">
        <f t="shared" si="360"/>
        <v>510.37099999999998</v>
      </c>
      <c r="U174" s="6">
        <f t="shared" si="360"/>
        <v>520.14122999999995</v>
      </c>
      <c r="V174" s="6">
        <f t="shared" si="360"/>
        <v>435.84123999999997</v>
      </c>
      <c r="W174" s="105">
        <f t="shared" si="360"/>
        <v>427.94799999999998</v>
      </c>
      <c r="X174" s="90"/>
      <c r="Y174" s="117"/>
      <c r="Z174" s="113"/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/>
      <c r="L175" s="113"/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361">+SUM(C168:C175)+SUM(B176:B179)</f>
        <v>482.21435000000002</v>
      </c>
      <c r="Q175" s="6">
        <f t="shared" si="361"/>
        <v>488.65599999999995</v>
      </c>
      <c r="R175" s="6">
        <f t="shared" si="361"/>
        <v>481.11799999999999</v>
      </c>
      <c r="S175" s="6">
        <f t="shared" si="361"/>
        <v>452.44899999999996</v>
      </c>
      <c r="T175" s="6">
        <f t="shared" si="361"/>
        <v>515.31000000000006</v>
      </c>
      <c r="U175" s="6">
        <f t="shared" si="361"/>
        <v>523.56740999999988</v>
      </c>
      <c r="V175" s="6">
        <f t="shared" si="361"/>
        <v>427.43205999999998</v>
      </c>
      <c r="W175" s="105">
        <f t="shared" si="361"/>
        <v>432.64800000000002</v>
      </c>
      <c r="X175" s="105"/>
      <c r="Y175" s="117"/>
      <c r="Z175" s="113"/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/>
      <c r="L176" s="113"/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362">+SUM(C168:C176)+SUM(B177:B179)</f>
        <v>478.34228000000007</v>
      </c>
      <c r="Q176" s="6">
        <f t="shared" si="362"/>
        <v>484.43900000000002</v>
      </c>
      <c r="R176" s="6">
        <f t="shared" si="362"/>
        <v>481.37099999999998</v>
      </c>
      <c r="S176" s="6">
        <f t="shared" si="362"/>
        <v>457.29399999999998</v>
      </c>
      <c r="T176" s="6">
        <f t="shared" si="362"/>
        <v>523.84500000000003</v>
      </c>
      <c r="U176" s="6">
        <f t="shared" si="362"/>
        <v>518.31572999999992</v>
      </c>
      <c r="V176" s="6">
        <f t="shared" si="362"/>
        <v>420.93974000000003</v>
      </c>
      <c r="W176" s="105">
        <f t="shared" si="362"/>
        <v>433.66800000000006</v>
      </c>
      <c r="X176" s="105"/>
      <c r="Y176" s="117"/>
      <c r="Z176" s="113"/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/>
      <c r="L177" s="113"/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363">+SUM(C168:C177)+SUM(B178:B179)</f>
        <v>481.37200000000007</v>
      </c>
      <c r="Q177" s="6">
        <f t="shared" si="363"/>
        <v>482.31100000000004</v>
      </c>
      <c r="R177" s="6">
        <f t="shared" si="363"/>
        <v>481.423</v>
      </c>
      <c r="S177" s="6">
        <f t="shared" si="363"/>
        <v>457.83999999999992</v>
      </c>
      <c r="T177" s="6">
        <f t="shared" si="363"/>
        <v>523.65000000000009</v>
      </c>
      <c r="U177" s="6">
        <f t="shared" si="363"/>
        <v>510.33846999999992</v>
      </c>
      <c r="V177" s="6">
        <f t="shared" si="363"/>
        <v>422.47199999999998</v>
      </c>
      <c r="W177" s="105">
        <f t="shared" si="363"/>
        <v>433.79200000000003</v>
      </c>
      <c r="X177" s="90"/>
      <c r="Y177" s="117"/>
      <c r="Z177" s="113"/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364">+SUM(C168:C178)+SUM(B179)</f>
        <v>481.28500000000003</v>
      </c>
      <c r="Q178" s="6">
        <f t="shared" si="364"/>
        <v>484.57300000000004</v>
      </c>
      <c r="R178" s="6">
        <f t="shared" si="364"/>
        <v>479.38299999999998</v>
      </c>
      <c r="S178" s="6">
        <f t="shared" si="364"/>
        <v>458.98799999999994</v>
      </c>
      <c r="T178" s="6">
        <f t="shared" si="364"/>
        <v>531.62099999999998</v>
      </c>
      <c r="U178" s="6">
        <f t="shared" si="364"/>
        <v>494.78246999999993</v>
      </c>
      <c r="V178" s="6">
        <f t="shared" si="364"/>
        <v>422.31799999999998</v>
      </c>
      <c r="W178" s="105">
        <f t="shared" si="364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365">+SUM(C168:C179)</f>
        <v>478.04200000000003</v>
      </c>
      <c r="Q179" s="6">
        <f t="shared" si="365"/>
        <v>483.51700000000005</v>
      </c>
      <c r="R179" s="6">
        <f t="shared" si="365"/>
        <v>476.87399999999997</v>
      </c>
      <c r="S179" s="6">
        <f t="shared" si="365"/>
        <v>460.34799999999996</v>
      </c>
      <c r="T179" s="6">
        <f t="shared" si="365"/>
        <v>535.00900000000001</v>
      </c>
      <c r="U179" s="6">
        <f t="shared" si="365"/>
        <v>489.48946999999993</v>
      </c>
      <c r="V179" s="6">
        <f t="shared" si="365"/>
        <v>422.733</v>
      </c>
      <c r="W179" s="105">
        <f t="shared" si="365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366">SUM(C168:C179)</f>
        <v>478.04200000000003</v>
      </c>
      <c r="D180" s="219">
        <f t="shared" si="366"/>
        <v>483.51700000000005</v>
      </c>
      <c r="E180" s="219">
        <f t="shared" si="366"/>
        <v>476.87399999999997</v>
      </c>
      <c r="F180" s="219">
        <f t="shared" si="366"/>
        <v>460.34799999999996</v>
      </c>
      <c r="G180" s="219">
        <f t="shared" ref="G180" si="367">SUM(G168:G179)</f>
        <v>535.00900000000001</v>
      </c>
      <c r="H180" s="219">
        <f t="shared" ref="H180" si="368">SUM(H168:H179)</f>
        <v>489.48946999999993</v>
      </c>
      <c r="I180" s="219">
        <f t="shared" ref="I180:J180" si="369">SUM(I168:I179)</f>
        <v>422.733</v>
      </c>
      <c r="J180" s="252">
        <f t="shared" si="369"/>
        <v>435.10900000000004</v>
      </c>
      <c r="K180" s="251"/>
      <c r="L180" s="173"/>
      <c r="M180" s="3"/>
      <c r="N180" s="92" t="s">
        <v>14</v>
      </c>
      <c r="O180" s="106">
        <f t="shared" ref="O180" si="370">+AVERAGE(O168:O179)</f>
        <v>462.39728215938339</v>
      </c>
      <c r="P180" s="83">
        <f>+AVERAGE(P168:P179)</f>
        <v>479.60974750000008</v>
      </c>
      <c r="Q180" s="83">
        <f t="shared" ref="Q180:U180" si="371">+AVERAGE(Q168:Q179)</f>
        <v>484.16724999999997</v>
      </c>
      <c r="R180" s="83">
        <f t="shared" si="371"/>
        <v>483.77658333333329</v>
      </c>
      <c r="S180" s="83">
        <f t="shared" si="371"/>
        <v>462.0216666666667</v>
      </c>
      <c r="T180" s="83">
        <f t="shared" si="371"/>
        <v>502.7214166666667</v>
      </c>
      <c r="U180" s="83">
        <f t="shared" si="371"/>
        <v>520.10234583333329</v>
      </c>
      <c r="V180" s="83">
        <f t="shared" ref="V180" si="372">+AVERAGE(V168:V179)</f>
        <v>445.41295749999995</v>
      </c>
      <c r="W180" s="107">
        <f t="shared" ref="W180:X180" si="373">+AVERAGE(W168:W179)</f>
        <v>426.80850000000009</v>
      </c>
      <c r="X180" s="93">
        <f t="shared" si="373"/>
        <v>429.40166666666664</v>
      </c>
      <c r="Y180" s="119">
        <f>+X180/W180-1</f>
        <v>6.0757146745356039E-3</v>
      </c>
      <c r="Z180" s="173">
        <f>+POWER(X180/S180,0.2)-1</f>
        <v>-1.4537105103083925E-2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374">+C180/C$324</f>
        <v>0.64684359938189917</v>
      </c>
      <c r="D181" s="84">
        <f t="shared" si="374"/>
        <v>0.65569450998898871</v>
      </c>
      <c r="E181" s="84">
        <f t="shared" si="374"/>
        <v>0.6598770394826966</v>
      </c>
      <c r="F181" s="84">
        <f t="shared" si="374"/>
        <v>0.6452348982000341</v>
      </c>
      <c r="G181" s="84">
        <f t="shared" ref="G181" si="375">+G180/G$324</f>
        <v>0.65341498237030549</v>
      </c>
      <c r="H181" s="229">
        <f t="shared" ref="H181" si="376">+H180/H$324</f>
        <v>0.65184173554764535</v>
      </c>
      <c r="I181" s="84">
        <f t="shared" ref="I181:J181" si="377">+I180/I$324</f>
        <v>0.66334054629134176</v>
      </c>
      <c r="J181" s="109">
        <f t="shared" si="377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378">+P180/P$324</f>
        <v>0.64352171834446459</v>
      </c>
      <c r="Q181" s="84">
        <f t="shared" ref="Q181" si="379">+Q180/Q$324</f>
        <v>0.65445842222767914</v>
      </c>
      <c r="R181" s="84">
        <f t="shared" ref="R181" si="380">+R180/R$324</f>
        <v>0.65623355973748465</v>
      </c>
      <c r="S181" s="84">
        <f t="shared" ref="S181:V181" si="381">+S180/S$324</f>
        <v>0.65170181526412962</v>
      </c>
      <c r="T181" s="84">
        <f t="shared" si="381"/>
        <v>0.65277700830425445</v>
      </c>
      <c r="U181" s="84">
        <f t="shared" si="381"/>
        <v>0.65302846706621898</v>
      </c>
      <c r="V181" s="84">
        <f t="shared" si="381"/>
        <v>0.65240503765854829</v>
      </c>
      <c r="W181" s="109">
        <f t="shared" ref="W181:X181" si="382">+W180/W$324</f>
        <v>0.67127288188107848</v>
      </c>
      <c r="X181" s="96">
        <f t="shared" si="382"/>
        <v>0.66620725677995907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383">+D180/C180-1</f>
        <v>1.1452968567615462E-2</v>
      </c>
      <c r="E182" s="85">
        <f t="shared" ref="E182" si="384">+E180/D180-1</f>
        <v>-1.3738917142520513E-2</v>
      </c>
      <c r="F182" s="85">
        <f t="shared" ref="F182:J182" si="385">+F180/E180-1</f>
        <v>-3.4654856419096047E-2</v>
      </c>
      <c r="G182" s="85">
        <f t="shared" si="385"/>
        <v>0.16218382614891347</v>
      </c>
      <c r="H182" s="85">
        <f t="shared" si="385"/>
        <v>-8.5081802362203418E-2</v>
      </c>
      <c r="I182" s="85">
        <f t="shared" si="385"/>
        <v>-0.13637978770002945</v>
      </c>
      <c r="J182" s="85">
        <f t="shared" si="385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386">+Q180/P180-1</f>
        <v>9.5025226733946866E-3</v>
      </c>
      <c r="R182" s="85">
        <f t="shared" ref="R182" si="387">+R180/Q180-1</f>
        <v>-8.0688370943449161E-4</v>
      </c>
      <c r="S182" s="85">
        <f t="shared" ref="S182" si="388">+S180/R180-1</f>
        <v>-4.4968932801108585E-2</v>
      </c>
      <c r="T182" s="85">
        <f t="shared" ref="T182" si="389">+T180/S180-1</f>
        <v>8.8090565738258908E-2</v>
      </c>
      <c r="U182" s="85">
        <f t="shared" ref="U182:X182" si="390">+U180/T180-1</f>
        <v>3.4573679557780013E-2</v>
      </c>
      <c r="V182" s="85">
        <f t="shared" si="390"/>
        <v>-0.14360517488853541</v>
      </c>
      <c r="W182" s="111">
        <f t="shared" si="390"/>
        <v>-4.1769008257915075E-2</v>
      </c>
      <c r="X182" s="100">
        <f t="shared" si="390"/>
        <v>6.0757146745356039E-3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35" t="s">
        <v>67</v>
      </c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7"/>
      <c r="M184" s="2"/>
      <c r="N184" s="335" t="s">
        <v>68</v>
      </c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7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391">+C185+1</f>
        <v>2018</v>
      </c>
      <c r="E185" s="82">
        <f t="shared" ref="E185" si="392">+D185+1</f>
        <v>2019</v>
      </c>
      <c r="F185" s="82">
        <f t="shared" ref="F185" si="393">+E185+1</f>
        <v>2020</v>
      </c>
      <c r="G185" s="82">
        <f t="shared" ref="G185" si="394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395">+P185+1</f>
        <v>2018</v>
      </c>
      <c r="R185" s="82">
        <f t="shared" ref="R185" si="396">+Q185+1</f>
        <v>2019</v>
      </c>
      <c r="S185" s="82">
        <f t="shared" ref="S185" si="397">+R185+1</f>
        <v>2020</v>
      </c>
      <c r="T185" s="82">
        <f t="shared" ref="T185" si="398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399">+SUM(C186)+SUM(B187:B197)</f>
        <v>77.118710000000007</v>
      </c>
      <c r="Q186" s="6">
        <f t="shared" si="399"/>
        <v>76.205000000000013</v>
      </c>
      <c r="R186" s="6">
        <f t="shared" si="399"/>
        <v>71.67</v>
      </c>
      <c r="S186" s="6">
        <f t="shared" si="399"/>
        <v>66.305999999999997</v>
      </c>
      <c r="T186" s="6">
        <f t="shared" si="399"/>
        <v>69.266000000000005</v>
      </c>
      <c r="U186" s="6">
        <f t="shared" si="399"/>
        <v>77.141000000000005</v>
      </c>
      <c r="V186" s="6">
        <f t="shared" si="399"/>
        <v>80.202339999999992</v>
      </c>
      <c r="W186" s="105">
        <f t="shared" si="399"/>
        <v>61.925000000000004</v>
      </c>
      <c r="X186" s="90">
        <f t="shared" si="399"/>
        <v>61.619000000000007</v>
      </c>
      <c r="Y186" s="117">
        <f t="shared" ref="Y186:Y187" si="400">+X186/W186-1</f>
        <v>-4.9414614452967243E-3</v>
      </c>
      <c r="Z186" s="113">
        <f t="shared" ref="Z186:Z187" si="401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402">+SUM(C186:C187)+SUM(B188:B197)</f>
        <v>77.213670000000008</v>
      </c>
      <c r="Q187" s="6">
        <f t="shared" si="402"/>
        <v>75.930999999999997</v>
      </c>
      <c r="R187" s="6">
        <f t="shared" si="402"/>
        <v>71.927999999999997</v>
      </c>
      <c r="S187" s="6">
        <f t="shared" si="402"/>
        <v>66.527999999999992</v>
      </c>
      <c r="T187" s="6">
        <f t="shared" si="402"/>
        <v>69.691000000000003</v>
      </c>
      <c r="U187" s="6">
        <f t="shared" si="402"/>
        <v>77.100999999999999</v>
      </c>
      <c r="V187" s="6">
        <f t="shared" si="402"/>
        <v>79.462339999999998</v>
      </c>
      <c r="W187" s="105">
        <f t="shared" si="402"/>
        <v>61.091999999999999</v>
      </c>
      <c r="X187" s="90">
        <f t="shared" si="402"/>
        <v>62.582999999999998</v>
      </c>
      <c r="Y187" s="117">
        <f t="shared" si="400"/>
        <v>2.4405814181889696E-2</v>
      </c>
      <c r="Z187" s="113">
        <f t="shared" si="401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403">+SUM(C186:C188)+SUM(B189:B197)</f>
        <v>78.257410000000007</v>
      </c>
      <c r="Q188" s="6">
        <f t="shared" si="403"/>
        <v>74.45</v>
      </c>
      <c r="R188" s="6">
        <f t="shared" si="403"/>
        <v>71.350999999999999</v>
      </c>
      <c r="S188" s="6">
        <f t="shared" si="403"/>
        <v>67.394000000000005</v>
      </c>
      <c r="T188" s="6">
        <f t="shared" si="403"/>
        <v>71.290999999999997</v>
      </c>
      <c r="U188" s="6">
        <f t="shared" si="403"/>
        <v>76.608699999999999</v>
      </c>
      <c r="V188" s="6">
        <f t="shared" si="403"/>
        <v>77.564639999999997</v>
      </c>
      <c r="W188" s="105">
        <f t="shared" si="403"/>
        <v>60.046000000000006</v>
      </c>
      <c r="X188" s="90">
        <f t="shared" ref="X188" si="404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/>
      <c r="L189" s="113"/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405">+SUM(C186:C189)+SUM(B190:B197)</f>
        <v>77.179460000000006</v>
      </c>
      <c r="Q189" s="6">
        <f t="shared" si="405"/>
        <v>73.945999999999998</v>
      </c>
      <c r="R189" s="6">
        <f t="shared" si="405"/>
        <v>71.646999999999991</v>
      </c>
      <c r="S189" s="6">
        <f t="shared" si="405"/>
        <v>67.893000000000001</v>
      </c>
      <c r="T189" s="6">
        <f t="shared" si="405"/>
        <v>71.570000000000007</v>
      </c>
      <c r="U189" s="6">
        <f t="shared" si="405"/>
        <v>77.367000000000004</v>
      </c>
      <c r="V189" s="6">
        <f t="shared" si="405"/>
        <v>74.544340000000005</v>
      </c>
      <c r="W189" s="105">
        <f t="shared" si="405"/>
        <v>61.870000000000005</v>
      </c>
      <c r="X189" s="90"/>
      <c r="Y189" s="117"/>
      <c r="Z189" s="113"/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/>
      <c r="L190" s="113"/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406">+SUM(C186:C190)+SUM(B191:B197)</f>
        <v>76.783739999999995</v>
      </c>
      <c r="Q190" s="6">
        <f t="shared" si="406"/>
        <v>73.373999999999995</v>
      </c>
      <c r="R190" s="6">
        <f t="shared" si="406"/>
        <v>71.866</v>
      </c>
      <c r="S190" s="6">
        <f t="shared" si="406"/>
        <v>66.364999999999995</v>
      </c>
      <c r="T190" s="6">
        <f t="shared" si="406"/>
        <v>71.183000000000007</v>
      </c>
      <c r="U190" s="6">
        <f t="shared" si="406"/>
        <v>79.725859999999997</v>
      </c>
      <c r="V190" s="6">
        <f t="shared" si="406"/>
        <v>73.272480000000002</v>
      </c>
      <c r="W190" s="105">
        <f t="shared" si="406"/>
        <v>62.027999999999999</v>
      </c>
      <c r="X190" s="90"/>
      <c r="Y190" s="117"/>
      <c r="Z190" s="113"/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/>
      <c r="L191" s="113"/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407">+SUM(C186:C191)+SUM(B192:B197)</f>
        <v>78.426839999999999</v>
      </c>
      <c r="Q191" s="6">
        <f t="shared" si="407"/>
        <v>71.739999999999995</v>
      </c>
      <c r="R191" s="6">
        <f t="shared" si="407"/>
        <v>71.192000000000007</v>
      </c>
      <c r="S191" s="6">
        <f t="shared" si="407"/>
        <v>67.637</v>
      </c>
      <c r="T191" s="6">
        <f t="shared" si="407"/>
        <v>72.627999999999986</v>
      </c>
      <c r="U191" s="6">
        <f t="shared" si="407"/>
        <v>79.936099999999996</v>
      </c>
      <c r="V191" s="6">
        <f t="shared" si="407"/>
        <v>70.454239999999999</v>
      </c>
      <c r="W191" s="105">
        <f t="shared" si="407"/>
        <v>60.902000000000001</v>
      </c>
      <c r="X191" s="90"/>
      <c r="Y191" s="117"/>
      <c r="Z191" s="113"/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/>
      <c r="L192" s="113"/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408">+SUM(C186:C192)+SUM(B193:B197)</f>
        <v>80.322020000000009</v>
      </c>
      <c r="Q192" s="6">
        <f t="shared" si="408"/>
        <v>72.562000000000012</v>
      </c>
      <c r="R192" s="6">
        <f t="shared" si="408"/>
        <v>70.456999999999994</v>
      </c>
      <c r="S192" s="6">
        <f t="shared" si="408"/>
        <v>66.762</v>
      </c>
      <c r="T192" s="6">
        <f t="shared" si="408"/>
        <v>73.900000000000006</v>
      </c>
      <c r="U192" s="6">
        <f t="shared" si="408"/>
        <v>79.367539999999991</v>
      </c>
      <c r="V192" s="6">
        <f t="shared" si="408"/>
        <v>70.941800000000001</v>
      </c>
      <c r="W192" s="105">
        <f t="shared" si="408"/>
        <v>61.266999999999996</v>
      </c>
      <c r="X192" s="90"/>
      <c r="Y192" s="117"/>
      <c r="Z192" s="113"/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/>
      <c r="L193" s="113"/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409">+SUM(C186:C193)+SUM(B194:B197)</f>
        <v>79.070339999999987</v>
      </c>
      <c r="Q193" s="6">
        <f t="shared" si="409"/>
        <v>72.704999999999998</v>
      </c>
      <c r="R193" s="6">
        <f t="shared" si="409"/>
        <v>68.837000000000003</v>
      </c>
      <c r="S193" s="6">
        <f t="shared" si="409"/>
        <v>66.094999999999999</v>
      </c>
      <c r="T193" s="6">
        <f t="shared" si="409"/>
        <v>75.555999999999997</v>
      </c>
      <c r="U193" s="6">
        <f t="shared" si="409"/>
        <v>80.293179999999992</v>
      </c>
      <c r="V193" s="6">
        <f t="shared" si="409"/>
        <v>69.422160000000005</v>
      </c>
      <c r="W193" s="105">
        <f t="shared" si="409"/>
        <v>60.22699999999999</v>
      </c>
      <c r="X193" s="105"/>
      <c r="Y193" s="117"/>
      <c r="Z193" s="113"/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/>
      <c r="L194" s="113"/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410">+SUM(C186:C194)+SUM(B195:B197)</f>
        <v>77.647679999999994</v>
      </c>
      <c r="Q194" s="6">
        <f t="shared" si="410"/>
        <v>72.360000000000014</v>
      </c>
      <c r="R194" s="6">
        <f t="shared" si="410"/>
        <v>68.048000000000002</v>
      </c>
      <c r="S194" s="6">
        <f t="shared" si="410"/>
        <v>68.88</v>
      </c>
      <c r="T194" s="6">
        <f t="shared" si="410"/>
        <v>75.762999999999991</v>
      </c>
      <c r="U194" s="6">
        <f t="shared" si="410"/>
        <v>78.81541</v>
      </c>
      <c r="V194" s="6">
        <f t="shared" si="410"/>
        <v>68.892930000000007</v>
      </c>
      <c r="W194" s="105">
        <f t="shared" si="410"/>
        <v>60.055999999999997</v>
      </c>
      <c r="X194" s="105"/>
      <c r="Y194" s="117"/>
      <c r="Z194" s="113"/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/>
      <c r="L195" s="113"/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411">+SUM(C186:C195)+SUM(B196:B197)</f>
        <v>77.519000000000005</v>
      </c>
      <c r="Q195" s="6">
        <f t="shared" si="411"/>
        <v>72.102000000000004</v>
      </c>
      <c r="R195" s="6">
        <f t="shared" si="411"/>
        <v>67.584000000000003</v>
      </c>
      <c r="S195" s="6">
        <f t="shared" si="411"/>
        <v>68.912000000000006</v>
      </c>
      <c r="T195" s="6">
        <f t="shared" si="411"/>
        <v>75.48899999999999</v>
      </c>
      <c r="U195" s="6">
        <f t="shared" si="411"/>
        <v>80.338339999999988</v>
      </c>
      <c r="V195" s="6">
        <f t="shared" si="411"/>
        <v>66.605000000000004</v>
      </c>
      <c r="W195" s="105">
        <f t="shared" si="411"/>
        <v>61.256999999999998</v>
      </c>
      <c r="X195" s="90"/>
      <c r="Y195" s="117"/>
      <c r="Z195" s="113"/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412">+SUM(C186:C196)+SUM(B197)</f>
        <v>77.504000000000005</v>
      </c>
      <c r="Q196" s="6">
        <f t="shared" si="412"/>
        <v>71.842000000000013</v>
      </c>
      <c r="R196" s="6">
        <f t="shared" si="412"/>
        <v>67.052000000000007</v>
      </c>
      <c r="S196" s="6">
        <f t="shared" si="412"/>
        <v>69.965000000000003</v>
      </c>
      <c r="T196" s="6">
        <f t="shared" si="412"/>
        <v>76.3</v>
      </c>
      <c r="U196" s="6">
        <f t="shared" si="412"/>
        <v>79.13333999999999</v>
      </c>
      <c r="V196" s="6">
        <f t="shared" si="412"/>
        <v>65.126000000000005</v>
      </c>
      <c r="W196" s="105">
        <f t="shared" si="412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413">+SUM(C186:C197)</f>
        <v>77.207000000000008</v>
      </c>
      <c r="Q197" s="6">
        <f t="shared" si="413"/>
        <v>71.283000000000001</v>
      </c>
      <c r="R197" s="6">
        <f t="shared" si="413"/>
        <v>66.745000000000005</v>
      </c>
      <c r="S197" s="6">
        <f t="shared" si="413"/>
        <v>69.725999999999999</v>
      </c>
      <c r="T197" s="6">
        <f t="shared" si="413"/>
        <v>77.594999999999999</v>
      </c>
      <c r="U197" s="6">
        <f t="shared" si="413"/>
        <v>78.906339999999986</v>
      </c>
      <c r="V197" s="6">
        <f t="shared" si="413"/>
        <v>63.995000000000005</v>
      </c>
      <c r="W197" s="105">
        <f t="shared" si="413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414">SUM(G186:G197)</f>
        <v>77.594999999999999</v>
      </c>
      <c r="H198" s="219">
        <f t="shared" si="414"/>
        <v>78.906339999999986</v>
      </c>
      <c r="I198" s="219">
        <f t="shared" si="414"/>
        <v>63.995000000000005</v>
      </c>
      <c r="J198" s="252">
        <f t="shared" ref="J198" si="415">SUM(J186:J197)</f>
        <v>61.783999999999999</v>
      </c>
      <c r="K198" s="251"/>
      <c r="L198" s="173"/>
      <c r="M198" s="3"/>
      <c r="N198" s="92" t="s">
        <v>14</v>
      </c>
      <c r="O198" s="106">
        <f t="shared" ref="O198:W198" si="416">+AVERAGE(O186:O197)</f>
        <v>76.348334263766688</v>
      </c>
      <c r="P198" s="83">
        <f t="shared" si="416"/>
        <v>77.854155833333337</v>
      </c>
      <c r="Q198" s="83">
        <f t="shared" si="416"/>
        <v>73.208333333333343</v>
      </c>
      <c r="R198" s="83">
        <f t="shared" si="416"/>
        <v>69.864750000000001</v>
      </c>
      <c r="S198" s="83">
        <f t="shared" si="416"/>
        <v>67.705250000000007</v>
      </c>
      <c r="T198" s="83">
        <f t="shared" si="416"/>
        <v>73.352666666666678</v>
      </c>
      <c r="U198" s="83">
        <f t="shared" si="416"/>
        <v>78.7278175</v>
      </c>
      <c r="V198" s="83">
        <f t="shared" si="416"/>
        <v>71.706939166666658</v>
      </c>
      <c r="W198" s="107">
        <f t="shared" si="416"/>
        <v>61.151666666666664</v>
      </c>
      <c r="X198" s="93">
        <f t="shared" ref="X198" si="417">+AVERAGE(X186:X197)</f>
        <v>62.88033333333334</v>
      </c>
      <c r="Y198" s="119">
        <f>+X198/W198-1</f>
        <v>2.8268512714289873E-2</v>
      </c>
      <c r="Z198" s="173">
        <f>+POWER(X198/S198,0.2)-1</f>
        <v>-1.4677278215416423E-2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418">+C198/C$324</f>
        <v>0.10446959425631701</v>
      </c>
      <c r="D199" s="84">
        <f t="shared" ref="D199" si="419">+D198/D$324</f>
        <v>9.6666449691624232E-2</v>
      </c>
      <c r="E199" s="84">
        <f t="shared" ref="E199" si="420">+E198/E$324</f>
        <v>9.2358763531399476E-2</v>
      </c>
      <c r="F199" s="84">
        <f t="shared" ref="F199:G199" si="421">+F198/F$324</f>
        <v>9.7729649117397233E-2</v>
      </c>
      <c r="G199" s="84">
        <f t="shared" si="421"/>
        <v>9.4768004943886638E-2</v>
      </c>
      <c r="H199" s="229">
        <f t="shared" ref="H199:I199" si="422">+H198/H$324</f>
        <v>0.10507773662896688</v>
      </c>
      <c r="I199" s="84">
        <f t="shared" si="422"/>
        <v>0.10041912568906242</v>
      </c>
      <c r="J199" s="109">
        <f t="shared" ref="J199" si="423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424">+P198/P$324</f>
        <v>0.10446168036258351</v>
      </c>
      <c r="Q199" s="84">
        <f t="shared" ref="Q199" si="425">+Q198/Q$324</f>
        <v>9.8957148231837974E-2</v>
      </c>
      <c r="R199" s="84">
        <f t="shared" ref="R199" si="426">+R198/R$324</f>
        <v>9.4770179401344398E-2</v>
      </c>
      <c r="S199" s="84">
        <f t="shared" ref="S199:W199" si="427">+S198/S$324</f>
        <v>9.5501223235371469E-2</v>
      </c>
      <c r="T199" s="84">
        <f t="shared" si="427"/>
        <v>9.5247452585762893E-2</v>
      </c>
      <c r="U199" s="84">
        <f t="shared" si="427"/>
        <v>9.8848825407853211E-2</v>
      </c>
      <c r="V199" s="84">
        <f t="shared" si="427"/>
        <v>0.10503055099695521</v>
      </c>
      <c r="W199" s="109">
        <f t="shared" si="427"/>
        <v>9.6177689795691523E-2</v>
      </c>
      <c r="X199" s="96">
        <f t="shared" ref="X199" si="428">+X198/X$324</f>
        <v>9.7557456403467052E-2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429">+D198/C198-1</f>
        <v>-7.6728794021267532E-2</v>
      </c>
      <c r="E200" s="85">
        <f t="shared" ref="E200" si="430">+E198/D198-1</f>
        <v>-6.3661742631482943E-2</v>
      </c>
      <c r="F200" s="85">
        <f t="shared" ref="F200:J200" si="431">+F198/E198-1</f>
        <v>4.4662521537193633E-2</v>
      </c>
      <c r="G200" s="85">
        <f t="shared" si="431"/>
        <v>0.11285603648567255</v>
      </c>
      <c r="H200" s="85">
        <f t="shared" si="431"/>
        <v>1.6899800244861041E-2</v>
      </c>
      <c r="I200" s="85">
        <f t="shared" si="431"/>
        <v>-0.18897518247583123</v>
      </c>
      <c r="J200" s="85">
        <f t="shared" si="431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432">+Q198/P198-1</f>
        <v>-5.9673404075507031E-2</v>
      </c>
      <c r="R200" s="85">
        <f t="shared" ref="R200" si="433">+R198/Q198-1</f>
        <v>-4.5672168468981367E-2</v>
      </c>
      <c r="S200" s="85">
        <f t="shared" ref="S200" si="434">+S198/R198-1</f>
        <v>-3.0909721998575779E-2</v>
      </c>
      <c r="T200" s="85">
        <f t="shared" ref="T200" si="435">+T198/S198-1</f>
        <v>8.3411798444975371E-2</v>
      </c>
      <c r="U200" s="85">
        <f t="shared" ref="U200" si="436">+U198/T198-1</f>
        <v>7.3278192567413969E-2</v>
      </c>
      <c r="V200" s="85">
        <f t="shared" ref="V200" si="437">+V198/U198-1</f>
        <v>-8.9179130786057215E-2</v>
      </c>
      <c r="W200" s="111">
        <f t="shared" ref="W200:X200" si="438">+W198/V198-1</f>
        <v>-0.14720015416453125</v>
      </c>
      <c r="X200" s="100">
        <f t="shared" si="438"/>
        <v>2.8268512714289873E-2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35" t="s">
        <v>69</v>
      </c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7"/>
      <c r="M202" s="2"/>
      <c r="N202" s="335" t="s">
        <v>70</v>
      </c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7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439">+C203+1</f>
        <v>2018</v>
      </c>
      <c r="E203" s="82">
        <f t="shared" ref="E203" si="440">+D203+1</f>
        <v>2019</v>
      </c>
      <c r="F203" s="82">
        <f t="shared" ref="F203" si="441">+E203+1</f>
        <v>2020</v>
      </c>
      <c r="G203" s="82">
        <f t="shared" ref="G203" si="442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443">+P203+1</f>
        <v>2018</v>
      </c>
      <c r="R203" s="82">
        <f t="shared" ref="R203" si="444">+Q203+1</f>
        <v>2019</v>
      </c>
      <c r="S203" s="82">
        <f t="shared" ref="S203" si="445">+R203+1</f>
        <v>2020</v>
      </c>
      <c r="T203" s="82">
        <f t="shared" ref="T203" si="446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447">+SUM(C204)+SUM(B205:B215)</f>
        <v>7.613150000000001</v>
      </c>
      <c r="Q204" s="6">
        <f t="shared" si="447"/>
        <v>7.056</v>
      </c>
      <c r="R204" s="6">
        <f t="shared" si="447"/>
        <v>7.915</v>
      </c>
      <c r="S204" s="6">
        <f t="shared" si="447"/>
        <v>7.3370000000000006</v>
      </c>
      <c r="T204" s="6">
        <f t="shared" si="447"/>
        <v>8.4420000000000019</v>
      </c>
      <c r="U204" s="6">
        <f t="shared" si="447"/>
        <v>9.113999999999999</v>
      </c>
      <c r="V204" s="6">
        <f t="shared" si="447"/>
        <v>7.1708099999999995</v>
      </c>
      <c r="W204" s="105">
        <f t="shared" si="447"/>
        <v>5.6713300000000011</v>
      </c>
      <c r="X204" s="90">
        <f t="shared" si="447"/>
        <v>5.52</v>
      </c>
      <c r="Y204" s="117">
        <f t="shared" ref="Y204:Y205" si="448">+X204/W204-1</f>
        <v>-2.6683335302301492E-2</v>
      </c>
      <c r="Z204" s="113">
        <f t="shared" ref="Z204:Z205" si="449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450">+SUM(C204:C205)+SUM(B206:B215)</f>
        <v>7.5289100000000007</v>
      </c>
      <c r="Q205" s="6">
        <f t="shared" si="450"/>
        <v>7.101</v>
      </c>
      <c r="R205" s="6">
        <f t="shared" si="450"/>
        <v>7.9359999999999999</v>
      </c>
      <c r="S205" s="6">
        <f t="shared" si="450"/>
        <v>7.3769999999999989</v>
      </c>
      <c r="T205" s="6">
        <f t="shared" si="450"/>
        <v>8.5310000000000006</v>
      </c>
      <c r="U205" s="6">
        <f t="shared" si="450"/>
        <v>9.1209000000000007</v>
      </c>
      <c r="V205" s="6">
        <f t="shared" si="450"/>
        <v>6.7889099999999996</v>
      </c>
      <c r="W205" s="105">
        <f t="shared" si="450"/>
        <v>5.72933</v>
      </c>
      <c r="X205" s="90">
        <f t="shared" si="450"/>
        <v>5.4880000000000004</v>
      </c>
      <c r="Y205" s="117">
        <f t="shared" si="448"/>
        <v>-4.2121853689698341E-2</v>
      </c>
      <c r="Z205" s="113">
        <f t="shared" si="449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451">+SUM(C204:C206)+SUM(B207:B215)</f>
        <v>7.8270700000000009</v>
      </c>
      <c r="Q206" s="6">
        <f t="shared" si="451"/>
        <v>6.8330000000000002</v>
      </c>
      <c r="R206" s="6">
        <f t="shared" si="451"/>
        <v>7.8040000000000003</v>
      </c>
      <c r="S206" s="6">
        <f t="shared" si="451"/>
        <v>7.4779999999999998</v>
      </c>
      <c r="T206" s="6">
        <f t="shared" si="451"/>
        <v>9.0649999999999995</v>
      </c>
      <c r="U206" s="6">
        <f t="shared" si="451"/>
        <v>8.8740999999999985</v>
      </c>
      <c r="V206" s="6">
        <f t="shared" si="451"/>
        <v>6.6067099999999996</v>
      </c>
      <c r="W206" s="105">
        <f t="shared" si="451"/>
        <v>5.3573300000000001</v>
      </c>
      <c r="X206" s="90">
        <f t="shared" ref="X206" si="452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90"/>
      <c r="L207" s="113"/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453">+SUM(C204:C207)+SUM(B208:B215)</f>
        <v>7.4254300000000004</v>
      </c>
      <c r="Q207" s="6">
        <f t="shared" si="453"/>
        <v>6.8090000000000002</v>
      </c>
      <c r="R207" s="6">
        <f t="shared" si="453"/>
        <v>7.9630000000000001</v>
      </c>
      <c r="S207" s="6">
        <f t="shared" si="453"/>
        <v>7.496999999999999</v>
      </c>
      <c r="T207" s="6">
        <f t="shared" si="453"/>
        <v>9.0790000000000006</v>
      </c>
      <c r="U207" s="6">
        <f t="shared" si="453"/>
        <v>8.7805</v>
      </c>
      <c r="V207" s="6">
        <f t="shared" si="453"/>
        <v>6.4556399999999998</v>
      </c>
      <c r="W207" s="105">
        <f t="shared" si="453"/>
        <v>5.7650000000000006</v>
      </c>
      <c r="X207" s="90"/>
      <c r="Y207" s="117"/>
      <c r="Z207" s="113"/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90"/>
      <c r="L208" s="113"/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454">+SUM(C204:C208)+SUM(B209:B215)</f>
        <v>7.3420600000000009</v>
      </c>
      <c r="Q208" s="6">
        <f t="shared" si="454"/>
        <v>7.07</v>
      </c>
      <c r="R208" s="6">
        <f t="shared" si="454"/>
        <v>8.2029999999999994</v>
      </c>
      <c r="S208" s="6">
        <f t="shared" si="454"/>
        <v>7.4290000000000003</v>
      </c>
      <c r="T208" s="6">
        <f t="shared" si="454"/>
        <v>8.9959999999999987</v>
      </c>
      <c r="U208" s="6">
        <f t="shared" si="454"/>
        <v>8.5734400000000015</v>
      </c>
      <c r="V208" s="6">
        <f t="shared" si="454"/>
        <v>6.3357000000000001</v>
      </c>
      <c r="W208" s="105">
        <f t="shared" si="454"/>
        <v>5.681</v>
      </c>
      <c r="X208" s="90"/>
      <c r="Y208" s="117"/>
      <c r="Z208" s="113"/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90"/>
      <c r="L209" s="113"/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455">+SUM(C204:C209)+SUM(B210:B215)</f>
        <v>7.0757399999999997</v>
      </c>
      <c r="Q209" s="6">
        <f t="shared" si="455"/>
        <v>7.2060000000000004</v>
      </c>
      <c r="R209" s="6">
        <f t="shared" si="455"/>
        <v>8.1319999999999997</v>
      </c>
      <c r="S209" s="6">
        <f t="shared" si="455"/>
        <v>7.5490000000000004</v>
      </c>
      <c r="T209" s="6">
        <f t="shared" si="455"/>
        <v>9.1879999999999988</v>
      </c>
      <c r="U209" s="6">
        <f t="shared" si="455"/>
        <v>8.5185600000000008</v>
      </c>
      <c r="V209" s="6">
        <f t="shared" si="455"/>
        <v>5.965580000000001</v>
      </c>
      <c r="W209" s="105">
        <f t="shared" si="455"/>
        <v>5.4789999999999992</v>
      </c>
      <c r="X209" s="90"/>
      <c r="Y209" s="117"/>
      <c r="Z209" s="113"/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90"/>
      <c r="L210" s="113"/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456">+SUM(C204:C210)+SUM(B211:B215)</f>
        <v>7.1218500000000002</v>
      </c>
      <c r="Q210" s="6">
        <f t="shared" si="456"/>
        <v>7.16</v>
      </c>
      <c r="R210" s="6">
        <f t="shared" si="456"/>
        <v>8.3030000000000008</v>
      </c>
      <c r="S210" s="6">
        <f t="shared" si="456"/>
        <v>7.6290000000000004</v>
      </c>
      <c r="T210" s="6">
        <f t="shared" si="456"/>
        <v>8.838000000000001</v>
      </c>
      <c r="U210" s="6">
        <f t="shared" si="456"/>
        <v>8.5314000000000014</v>
      </c>
      <c r="V210" s="6">
        <f t="shared" si="456"/>
        <v>6.3787400000000005</v>
      </c>
      <c r="W210" s="105">
        <f t="shared" si="456"/>
        <v>5.0729999999999995</v>
      </c>
      <c r="X210" s="90"/>
      <c r="Y210" s="117"/>
      <c r="Z210" s="113"/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90"/>
      <c r="L211" s="113"/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457">+SUM(C204:C211)+SUM(B212:B215)</f>
        <v>7.3025199999999995</v>
      </c>
      <c r="Q211" s="6">
        <f t="shared" si="457"/>
        <v>7.4340000000000011</v>
      </c>
      <c r="R211" s="6">
        <f t="shared" si="457"/>
        <v>7.8890000000000002</v>
      </c>
      <c r="S211" s="6">
        <f t="shared" si="457"/>
        <v>7.9410000000000007</v>
      </c>
      <c r="T211" s="6">
        <f t="shared" si="457"/>
        <v>8.9929999999999986</v>
      </c>
      <c r="U211" s="6">
        <f t="shared" si="457"/>
        <v>8.1412600000000008</v>
      </c>
      <c r="V211" s="6">
        <f t="shared" si="457"/>
        <v>6.3168800000000003</v>
      </c>
      <c r="W211" s="105">
        <f t="shared" si="457"/>
        <v>4.766</v>
      </c>
      <c r="X211" s="105"/>
      <c r="Y211" s="117"/>
      <c r="Z211" s="113"/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90"/>
      <c r="L212" s="113"/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458">+SUM(C204:C212)+SUM(B213:B215)</f>
        <v>7.3486700000000003</v>
      </c>
      <c r="Q212" s="6">
        <f t="shared" si="458"/>
        <v>7.3239999999999998</v>
      </c>
      <c r="R212" s="6">
        <f t="shared" si="458"/>
        <v>7.766</v>
      </c>
      <c r="S212" s="6">
        <f t="shared" si="458"/>
        <v>8.3210000000000015</v>
      </c>
      <c r="T212" s="6">
        <f t="shared" si="458"/>
        <v>9.1809999999999992</v>
      </c>
      <c r="U212" s="6">
        <f t="shared" si="458"/>
        <v>7.5872900000000012</v>
      </c>
      <c r="V212" s="6">
        <f t="shared" si="458"/>
        <v>6.283850000000001</v>
      </c>
      <c r="W212" s="105">
        <f t="shared" si="458"/>
        <v>4.6649999999999991</v>
      </c>
      <c r="X212" s="105"/>
      <c r="Y212" s="117"/>
      <c r="Z212" s="113"/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90"/>
      <c r="L213" s="113"/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459">+SUM(C204:C213)+SUM(B214:B215)</f>
        <v>7.0380000000000003</v>
      </c>
      <c r="Q213" s="6">
        <f t="shared" si="459"/>
        <v>7.4879999999999995</v>
      </c>
      <c r="R213" s="6">
        <f t="shared" si="459"/>
        <v>7.6219999999999999</v>
      </c>
      <c r="S213" s="6">
        <f t="shared" si="459"/>
        <v>8.5389999999999997</v>
      </c>
      <c r="T213" s="6">
        <f t="shared" si="459"/>
        <v>8.8740000000000006</v>
      </c>
      <c r="U213" s="6">
        <f t="shared" si="459"/>
        <v>7.4908100000000015</v>
      </c>
      <c r="V213" s="6">
        <f t="shared" si="459"/>
        <v>6.2563300000000011</v>
      </c>
      <c r="W213" s="105">
        <f t="shared" si="459"/>
        <v>5.1479999999999997</v>
      </c>
      <c r="X213" s="90"/>
      <c r="Y213" s="117"/>
      <c r="Z213" s="113"/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460">+SUM(C204:C214)+SUM(B215)</f>
        <v>7.0380000000000003</v>
      </c>
      <c r="Q214" s="6">
        <f t="shared" si="460"/>
        <v>7.64</v>
      </c>
      <c r="R214" s="6">
        <f t="shared" si="460"/>
        <v>7.5759999999999996</v>
      </c>
      <c r="S214" s="6">
        <f t="shared" si="460"/>
        <v>8.6609999999999996</v>
      </c>
      <c r="T214" s="6">
        <f t="shared" si="460"/>
        <v>8.8050000000000015</v>
      </c>
      <c r="U214" s="6">
        <f t="shared" si="460"/>
        <v>7.6298100000000009</v>
      </c>
      <c r="V214" s="6">
        <f t="shared" si="460"/>
        <v>5.9013300000000006</v>
      </c>
      <c r="W214" s="105">
        <f t="shared" si="460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461">+SUM(C204:C215)</f>
        <v>6.8449999999999998</v>
      </c>
      <c r="Q215" s="6">
        <f t="shared" si="461"/>
        <v>8.0269999999999992</v>
      </c>
      <c r="R215" s="6">
        <f t="shared" si="461"/>
        <v>7.3509999999999991</v>
      </c>
      <c r="S215" s="6">
        <f t="shared" si="461"/>
        <v>8.6780000000000008</v>
      </c>
      <c r="T215" s="6">
        <f t="shared" si="461"/>
        <v>9.0380000000000003</v>
      </c>
      <c r="U215" s="6">
        <f t="shared" si="461"/>
        <v>7.2178100000000009</v>
      </c>
      <c r="V215" s="6">
        <f t="shared" si="461"/>
        <v>5.7623300000000013</v>
      </c>
      <c r="W215" s="105">
        <f t="shared" si="461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462">SUM(C204:C215)</f>
        <v>6.8449999999999998</v>
      </c>
      <c r="D216" s="219">
        <f t="shared" si="462"/>
        <v>8.0269999999999992</v>
      </c>
      <c r="E216" s="219">
        <f t="shared" si="462"/>
        <v>7.3509999999999991</v>
      </c>
      <c r="F216" s="219">
        <f t="shared" si="462"/>
        <v>8.6780000000000008</v>
      </c>
      <c r="G216" s="219">
        <f t="shared" si="462"/>
        <v>9.0380000000000003</v>
      </c>
      <c r="H216" s="219">
        <f t="shared" ref="H216:I216" si="463">SUM(H204:H215)</f>
        <v>7.2178100000000009</v>
      </c>
      <c r="I216" s="219">
        <f t="shared" si="463"/>
        <v>5.7623300000000013</v>
      </c>
      <c r="J216" s="252">
        <f t="shared" ref="J216" si="464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465">+AVERAGE(Q204:Q215)</f>
        <v>7.2623333333333333</v>
      </c>
      <c r="R216" s="83">
        <f t="shared" si="465"/>
        <v>7.8716666666666661</v>
      </c>
      <c r="S216" s="83">
        <f t="shared" si="465"/>
        <v>7.8696666666666673</v>
      </c>
      <c r="T216" s="83">
        <f t="shared" si="465"/>
        <v>8.9191666666666674</v>
      </c>
      <c r="U216" s="83">
        <f t="shared" si="465"/>
        <v>8.2983233333333342</v>
      </c>
      <c r="V216" s="83">
        <f t="shared" si="465"/>
        <v>6.3519008333333344</v>
      </c>
      <c r="W216" s="107">
        <f t="shared" si="465"/>
        <v>5.3963324999999998</v>
      </c>
      <c r="X216" s="93">
        <f t="shared" ref="X216" si="466">+AVERAGE(X204:X215)</f>
        <v>5.4713333333333329</v>
      </c>
      <c r="Y216" s="119">
        <f>+X216/W216-1</f>
        <v>1.3898482595972927E-2</v>
      </c>
      <c r="Z216" s="173">
        <f>+POWER(X216/S216,0.2)-1</f>
        <v>-7.0119014134595203E-2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467">+C216/C$324</f>
        <v>9.2620406528487031E-3</v>
      </c>
      <c r="D217" s="84">
        <f t="shared" ref="D217" si="468">+D216/D$324</f>
        <v>1.0885366660699853E-2</v>
      </c>
      <c r="E217" s="84">
        <f t="shared" ref="E217" si="469">+E216/E$324</f>
        <v>1.0171986976092852E-2</v>
      </c>
      <c r="F217" s="84">
        <f t="shared" ref="F217:G217" si="470">+F216/F$324</f>
        <v>1.216329482604442E-2</v>
      </c>
      <c r="G217" s="84">
        <f t="shared" si="470"/>
        <v>1.1038252834368807E-2</v>
      </c>
      <c r="H217" s="229">
        <f t="shared" ref="H217:I217" si="471">+H216/H$324</f>
        <v>9.6117896004037657E-3</v>
      </c>
      <c r="I217" s="84">
        <f t="shared" si="471"/>
        <v>9.0420836085921569E-3</v>
      </c>
      <c r="J217" s="109">
        <f t="shared" ref="J217" si="472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473">+P216/P$324</f>
        <v>9.7843905362067392E-3</v>
      </c>
      <c r="Q217" s="84">
        <f t="shared" ref="Q217" si="474">+Q216/Q$324</f>
        <v>9.816639219246687E-3</v>
      </c>
      <c r="R217" s="84">
        <f t="shared" ref="R217" si="475">+R216/R$324</f>
        <v>1.0677763281019149E-2</v>
      </c>
      <c r="S217" s="84">
        <f t="shared" ref="S217:W217" si="476">+S216/S$324</f>
        <v>1.1100509829315968E-2</v>
      </c>
      <c r="T217" s="84">
        <f t="shared" si="476"/>
        <v>1.1581418137779813E-2</v>
      </c>
      <c r="U217" s="84">
        <f t="shared" si="476"/>
        <v>1.0419182703173262E-2</v>
      </c>
      <c r="V217" s="84">
        <f t="shared" si="476"/>
        <v>9.3037529164701014E-3</v>
      </c>
      <c r="W217" s="109">
        <f t="shared" si="476"/>
        <v>8.4872060159615469E-3</v>
      </c>
      <c r="X217" s="96">
        <f t="shared" ref="X217" si="477">+X216/X$324</f>
        <v>8.488653523923792E-3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478">+D216/C216-1</f>
        <v>0.172680788897005</v>
      </c>
      <c r="E218" s="85">
        <f t="shared" ref="E218" si="479">+E216/D216-1</f>
        <v>-8.4215771770275394E-2</v>
      </c>
      <c r="F218" s="85">
        <f t="shared" ref="F218:J218" si="480">+F216/E216-1</f>
        <v>0.18051965718949825</v>
      </c>
      <c r="G218" s="85">
        <f t="shared" si="480"/>
        <v>4.1484212952292987E-2</v>
      </c>
      <c r="H218" s="85">
        <f t="shared" si="480"/>
        <v>-0.20139300730250043</v>
      </c>
      <c r="I218" s="85">
        <f t="shared" si="480"/>
        <v>-0.20165119336751725</v>
      </c>
      <c r="J218" s="85">
        <f t="shared" si="480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481">+Q216/P216-1</f>
        <v>-4.0957004287687226E-3</v>
      </c>
      <c r="R218" s="85">
        <f t="shared" ref="R218" si="482">+R216/Q216-1</f>
        <v>8.3903245054390174E-2</v>
      </c>
      <c r="S218" s="85">
        <f t="shared" ref="S218" si="483">+S216/R216-1</f>
        <v>-2.5407579927994028E-4</v>
      </c>
      <c r="T218" s="85">
        <f t="shared" ref="T218" si="484">+T216/S216-1</f>
        <v>0.13336015926129874</v>
      </c>
      <c r="U218" s="85">
        <f t="shared" ref="U218" si="485">+U216/T216-1</f>
        <v>-6.960777352144254E-2</v>
      </c>
      <c r="V218" s="85">
        <f t="shared" ref="V218" si="486">+V216/U216-1</f>
        <v>-0.23455611715941005</v>
      </c>
      <c r="W218" s="111">
        <f t="shared" ref="W218:X218" si="487">+W216/V216-1</f>
        <v>-0.15043816936163878</v>
      </c>
      <c r="X218" s="100">
        <f t="shared" si="487"/>
        <v>1.3898482595972927E-2</v>
      </c>
      <c r="Y218" s="99"/>
      <c r="Z218" s="115"/>
    </row>
    <row r="219" spans="1:26" ht="15.75" thickBot="1" x14ac:dyDescent="0.3"/>
    <row r="220" spans="1:26" ht="15.75" thickBot="1" x14ac:dyDescent="0.3">
      <c r="A220" s="335" t="s">
        <v>71</v>
      </c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7"/>
      <c r="M220" s="2"/>
      <c r="N220" s="335" t="s">
        <v>72</v>
      </c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7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488">+C221+1</f>
        <v>2018</v>
      </c>
      <c r="E221" s="82">
        <f t="shared" ref="E221" si="489">+D221+1</f>
        <v>2019</v>
      </c>
      <c r="F221" s="82">
        <f t="shared" ref="F221" si="490">+E221+1</f>
        <v>2020</v>
      </c>
      <c r="G221" s="82">
        <f t="shared" ref="G221" si="491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492">+P221+1</f>
        <v>2018</v>
      </c>
      <c r="R221" s="82">
        <f t="shared" ref="R221" si="493">+Q221+1</f>
        <v>2019</v>
      </c>
      <c r="S221" s="82">
        <f t="shared" ref="S221" si="494">+R221+1</f>
        <v>2020</v>
      </c>
      <c r="T221" s="82">
        <f t="shared" ref="T221" si="495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496">+SUM(C222)+SUM(B223:B233)</f>
        <v>9.2672000000000025</v>
      </c>
      <c r="Q222" s="6">
        <f t="shared" si="496"/>
        <v>8.1560000000000006</v>
      </c>
      <c r="R222" s="6">
        <f t="shared" si="496"/>
        <v>8.5470000000000006</v>
      </c>
      <c r="S222" s="6">
        <f t="shared" si="496"/>
        <v>8.2949999999999999</v>
      </c>
      <c r="T222" s="6">
        <f t="shared" si="496"/>
        <v>8.7129999999999992</v>
      </c>
      <c r="U222" s="6">
        <f t="shared" si="496"/>
        <v>7.5099999999999989</v>
      </c>
      <c r="V222" s="6">
        <f t="shared" si="496"/>
        <v>6.0017000000000005</v>
      </c>
      <c r="W222" s="105">
        <f t="shared" si="496"/>
        <v>4.0039400000000001</v>
      </c>
      <c r="X222" s="90">
        <f t="shared" si="496"/>
        <v>4.6879999999999997</v>
      </c>
      <c r="Y222" s="117">
        <f t="shared" ref="Y222:Y223" si="497">+X222/W222-1</f>
        <v>0.17084671598475487</v>
      </c>
      <c r="Z222" s="113">
        <f t="shared" ref="Z222:Z223" si="498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499">+SUM(C222:C223)+SUM(B224:B233)</f>
        <v>9.0758499999999991</v>
      </c>
      <c r="Q223" s="6">
        <f t="shared" si="499"/>
        <v>8.2469999999999999</v>
      </c>
      <c r="R223" s="6">
        <f t="shared" si="499"/>
        <v>8.5379999999999985</v>
      </c>
      <c r="S223" s="6">
        <f t="shared" si="499"/>
        <v>8.0259999999999998</v>
      </c>
      <c r="T223" s="6">
        <f t="shared" si="499"/>
        <v>8.6980000000000004</v>
      </c>
      <c r="U223" s="6">
        <f t="shared" si="499"/>
        <v>7.4478999999999989</v>
      </c>
      <c r="V223" s="6">
        <f t="shared" si="499"/>
        <v>5.8948</v>
      </c>
      <c r="W223" s="105">
        <f t="shared" si="499"/>
        <v>4.2639399999999998</v>
      </c>
      <c r="X223" s="90">
        <f t="shared" si="499"/>
        <v>4.5649999999999995</v>
      </c>
      <c r="Y223" s="117">
        <f t="shared" si="497"/>
        <v>7.0606059184697534E-2</v>
      </c>
      <c r="Z223" s="113">
        <f t="shared" si="498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500">+SUM(C222:C224)+SUM(B225:B233)</f>
        <v>8.6313500000000012</v>
      </c>
      <c r="Q224" s="6">
        <f t="shared" si="500"/>
        <v>8.1689999999999987</v>
      </c>
      <c r="R224" s="6">
        <f t="shared" si="500"/>
        <v>8.673</v>
      </c>
      <c r="S224" s="6">
        <f t="shared" si="500"/>
        <v>7.9689999999999994</v>
      </c>
      <c r="T224" s="6">
        <f t="shared" si="500"/>
        <v>8.81</v>
      </c>
      <c r="U224" s="6">
        <f t="shared" si="500"/>
        <v>7.0538999999999987</v>
      </c>
      <c r="V224" s="6">
        <f t="shared" si="500"/>
        <v>6.0687999999999995</v>
      </c>
      <c r="W224" s="105">
        <f t="shared" si="500"/>
        <v>4.06494</v>
      </c>
      <c r="X224" s="90">
        <f t="shared" ref="X224" si="501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/>
      <c r="L225" s="113"/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502">+SUM(C222:C225)+SUM(B226:B233)</f>
        <v>8.6578999999999997</v>
      </c>
      <c r="Q225" s="6">
        <f t="shared" si="502"/>
        <v>8.1179999999999986</v>
      </c>
      <c r="R225" s="6">
        <f t="shared" si="502"/>
        <v>8.9669999999999987</v>
      </c>
      <c r="S225" s="6">
        <f t="shared" si="502"/>
        <v>7.76</v>
      </c>
      <c r="T225" s="6">
        <f t="shared" si="502"/>
        <v>8.8649999999999984</v>
      </c>
      <c r="U225" s="6">
        <f t="shared" si="502"/>
        <v>7.3515999999999995</v>
      </c>
      <c r="V225" s="6">
        <f t="shared" si="502"/>
        <v>5.3429800000000007</v>
      </c>
      <c r="W225" s="105">
        <f t="shared" si="502"/>
        <v>4.0150600000000001</v>
      </c>
      <c r="X225" s="90"/>
      <c r="Y225" s="117"/>
      <c r="Z225" s="113"/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/>
      <c r="L226" s="113"/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503">+SUM(C222:C226)+SUM(B227:B233)</f>
        <v>8.1767399999999988</v>
      </c>
      <c r="Q226" s="6">
        <f t="shared" si="503"/>
        <v>8.1389999999999993</v>
      </c>
      <c r="R226" s="6">
        <f t="shared" si="503"/>
        <v>9.2050000000000001</v>
      </c>
      <c r="S226" s="6">
        <f t="shared" si="503"/>
        <v>7.9009999999999998</v>
      </c>
      <c r="T226" s="6">
        <f t="shared" si="503"/>
        <v>8.4539999999999988</v>
      </c>
      <c r="U226" s="6">
        <f t="shared" si="503"/>
        <v>7.1754799999999994</v>
      </c>
      <c r="V226" s="6">
        <f t="shared" si="503"/>
        <v>5.3620999999999999</v>
      </c>
      <c r="W226" s="105">
        <f t="shared" si="503"/>
        <v>3.9650599999999998</v>
      </c>
      <c r="X226" s="90"/>
      <c r="Y226" s="117"/>
      <c r="Z226" s="113"/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/>
      <c r="L227" s="113"/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504">+SUM(C222:C227)+SUM(B228:B233)</f>
        <v>8.236089999999999</v>
      </c>
      <c r="Q227" s="6">
        <f t="shared" si="504"/>
        <v>7.9359999999999999</v>
      </c>
      <c r="R227" s="6">
        <f t="shared" si="504"/>
        <v>9.1630000000000003</v>
      </c>
      <c r="S227" s="6">
        <f t="shared" si="504"/>
        <v>8.0090000000000003</v>
      </c>
      <c r="T227" s="6">
        <f t="shared" si="504"/>
        <v>8.5439999999999987</v>
      </c>
      <c r="U227" s="6">
        <f t="shared" si="504"/>
        <v>7.0300999999999991</v>
      </c>
      <c r="V227" s="6">
        <f t="shared" si="504"/>
        <v>5.1325400000000005</v>
      </c>
      <c r="W227" s="105">
        <f t="shared" si="504"/>
        <v>3.9430000000000005</v>
      </c>
      <c r="X227" s="90"/>
      <c r="Y227" s="117"/>
      <c r="Z227" s="113"/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/>
      <c r="L228" s="113"/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505">+SUM(C222:C228)+SUM(B229:B233)</f>
        <v>8.3430600000000013</v>
      </c>
      <c r="Q228" s="6">
        <f t="shared" si="505"/>
        <v>7.9909999999999997</v>
      </c>
      <c r="R228" s="6">
        <f t="shared" si="505"/>
        <v>9.173</v>
      </c>
      <c r="S228" s="6">
        <f t="shared" si="505"/>
        <v>7.7</v>
      </c>
      <c r="T228" s="6">
        <f t="shared" si="505"/>
        <v>8.6890000000000001</v>
      </c>
      <c r="U228" s="6">
        <f t="shared" si="505"/>
        <v>6.7631199999999998</v>
      </c>
      <c r="V228" s="6">
        <f t="shared" si="505"/>
        <v>5.0095200000000002</v>
      </c>
      <c r="W228" s="105">
        <f t="shared" si="505"/>
        <v>3.9960000000000004</v>
      </c>
      <c r="X228" s="90"/>
      <c r="Y228" s="117"/>
      <c r="Z228" s="113"/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/>
      <c r="L229" s="113"/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506">+SUM(C222:C229)+SUM(B230:B233)</f>
        <v>8.1677300000000006</v>
      </c>
      <c r="Q229" s="6">
        <f t="shared" si="506"/>
        <v>8.5339999999999989</v>
      </c>
      <c r="R229" s="6">
        <f t="shared" si="506"/>
        <v>8.3689999999999998</v>
      </c>
      <c r="S229" s="6">
        <f t="shared" si="506"/>
        <v>8.3250000000000011</v>
      </c>
      <c r="T229" s="6">
        <f t="shared" si="506"/>
        <v>8.5009999999999977</v>
      </c>
      <c r="U229" s="6">
        <f t="shared" si="506"/>
        <v>6.37974</v>
      </c>
      <c r="V229" s="6">
        <f t="shared" si="506"/>
        <v>4.7469000000000001</v>
      </c>
      <c r="W229" s="105">
        <f t="shared" si="506"/>
        <v>4.0030000000000001</v>
      </c>
      <c r="X229" s="105"/>
      <c r="Y229" s="117"/>
      <c r="Z229" s="113"/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/>
      <c r="L230" s="113"/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507">+SUM(C222:C230)+SUM(B231:B233)</f>
        <v>7.8386800000000001</v>
      </c>
      <c r="Q230" s="6">
        <f t="shared" si="507"/>
        <v>8.5339999999999989</v>
      </c>
      <c r="R230" s="6">
        <f t="shared" si="507"/>
        <v>8.4190000000000005</v>
      </c>
      <c r="S230" s="6">
        <f t="shared" si="507"/>
        <v>8.4420000000000002</v>
      </c>
      <c r="T230" s="6">
        <f t="shared" si="507"/>
        <v>8.5599999999999987</v>
      </c>
      <c r="U230" s="6">
        <f t="shared" si="507"/>
        <v>6.0669900000000005</v>
      </c>
      <c r="V230" s="6">
        <f t="shared" si="507"/>
        <v>4.6026500000000006</v>
      </c>
      <c r="W230" s="105">
        <f t="shared" si="507"/>
        <v>4.1379999999999999</v>
      </c>
      <c r="X230" s="105"/>
      <c r="Y230" s="117"/>
      <c r="Z230" s="113"/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/>
      <c r="L231" s="113"/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508">+SUM(C222:C231)+SUM(B232:B233)</f>
        <v>7.7870000000000008</v>
      </c>
      <c r="Q231" s="6">
        <f t="shared" si="508"/>
        <v>8.4289999999999985</v>
      </c>
      <c r="R231" s="6">
        <f t="shared" si="508"/>
        <v>8.4510000000000005</v>
      </c>
      <c r="S231" s="6">
        <f t="shared" si="508"/>
        <v>8.6620000000000008</v>
      </c>
      <c r="T231" s="6">
        <f t="shared" si="508"/>
        <v>8.238999999999999</v>
      </c>
      <c r="U231" s="6">
        <f t="shared" si="508"/>
        <v>6.0357000000000012</v>
      </c>
      <c r="V231" s="6">
        <f t="shared" si="508"/>
        <v>4.3499400000000001</v>
      </c>
      <c r="W231" s="105">
        <f t="shared" si="508"/>
        <v>4.3499999999999996</v>
      </c>
      <c r="X231" s="90"/>
      <c r="Y231" s="117"/>
      <c r="Z231" s="113"/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509">+SUM(C222:C232)+SUM(B233)</f>
        <v>8.15</v>
      </c>
      <c r="Q232" s="6">
        <f t="shared" si="509"/>
        <v>8.2839999999999989</v>
      </c>
      <c r="R232" s="6">
        <f t="shared" si="509"/>
        <v>8.1530000000000005</v>
      </c>
      <c r="S232" s="6">
        <f t="shared" si="509"/>
        <v>8.9730000000000008</v>
      </c>
      <c r="T232" s="6">
        <f t="shared" si="509"/>
        <v>8.1759999999999984</v>
      </c>
      <c r="U232" s="6">
        <f t="shared" si="509"/>
        <v>5.6967000000000008</v>
      </c>
      <c r="V232" s="6">
        <f t="shared" si="509"/>
        <v>4.3999400000000009</v>
      </c>
      <c r="W232" s="105">
        <f t="shared" si="509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510">+SUM(C222:C233)</f>
        <v>8.3230000000000004</v>
      </c>
      <c r="Q233" s="6">
        <f t="shared" si="510"/>
        <v>8.4959999999999987</v>
      </c>
      <c r="R233" s="6">
        <f t="shared" si="510"/>
        <v>8.093</v>
      </c>
      <c r="S233" s="6">
        <f t="shared" si="510"/>
        <v>8.6240000000000006</v>
      </c>
      <c r="T233" s="6">
        <f t="shared" si="510"/>
        <v>8.0879999999999992</v>
      </c>
      <c r="U233" s="6">
        <f t="shared" si="510"/>
        <v>5.8697000000000008</v>
      </c>
      <c r="V233" s="6">
        <f t="shared" si="510"/>
        <v>4.168940000000001</v>
      </c>
      <c r="W233" s="105">
        <f t="shared" si="510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511">SUM(C222:C233)</f>
        <v>8.3230000000000004</v>
      </c>
      <c r="D234" s="219">
        <f t="shared" si="511"/>
        <v>8.4959999999999987</v>
      </c>
      <c r="E234" s="219">
        <f t="shared" si="511"/>
        <v>8.093</v>
      </c>
      <c r="F234" s="219">
        <f t="shared" si="511"/>
        <v>8.6240000000000006</v>
      </c>
      <c r="G234" s="219">
        <f t="shared" si="511"/>
        <v>8.0879999999999992</v>
      </c>
      <c r="H234" s="219">
        <f t="shared" ref="H234:I234" si="512">SUM(H222:H233)</f>
        <v>5.8697000000000008</v>
      </c>
      <c r="I234" s="219">
        <f t="shared" si="512"/>
        <v>4.168940000000001</v>
      </c>
      <c r="J234" s="252">
        <f t="shared" ref="J234" si="513">SUM(J222:J233)</f>
        <v>4.673</v>
      </c>
      <c r="K234" s="251"/>
      <c r="L234" s="173"/>
      <c r="M234" s="3"/>
      <c r="N234" s="92" t="s">
        <v>14</v>
      </c>
      <c r="O234" s="106">
        <f t="shared" ref="O234" si="514">+AVERAGE(O222:O233)</f>
        <v>10.532009333049999</v>
      </c>
      <c r="P234" s="83">
        <f>+AVERAGE(P222:P233)</f>
        <v>8.3878833333333347</v>
      </c>
      <c r="Q234" s="83">
        <f t="shared" ref="Q234:W234" si="515">+AVERAGE(Q222:Q233)</f>
        <v>8.2527499999999971</v>
      </c>
      <c r="R234" s="83">
        <f t="shared" si="515"/>
        <v>8.6459166666666665</v>
      </c>
      <c r="S234" s="83">
        <f t="shared" si="515"/>
        <v>8.2238333333333333</v>
      </c>
      <c r="T234" s="83">
        <f t="shared" si="515"/>
        <v>8.528083333333333</v>
      </c>
      <c r="U234" s="83">
        <f t="shared" si="515"/>
        <v>6.6984108333333339</v>
      </c>
      <c r="V234" s="83">
        <f t="shared" si="515"/>
        <v>5.0900675000000009</v>
      </c>
      <c r="W234" s="107">
        <f t="shared" si="515"/>
        <v>4.1606616666666669</v>
      </c>
      <c r="X234" s="93">
        <f t="shared" ref="X234" si="516">+AVERAGE(X222:X233)</f>
        <v>4.6126666666666667</v>
      </c>
      <c r="Y234" s="119">
        <f>+X234/W234-1</f>
        <v>0.10863776875232589</v>
      </c>
      <c r="Z234" s="173">
        <f>+POWER(X234/S234,0.2)-1</f>
        <v>-0.10920954615642797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517">+C234/C$324</f>
        <v>1.1261937816458694E-2</v>
      </c>
      <c r="D235" s="84">
        <f t="shared" ref="D235" si="518">+D234/D$324</f>
        <v>1.1521374753868935E-2</v>
      </c>
      <c r="E235" s="84">
        <f t="shared" ref="E235" si="519">+E234/E$324</f>
        <v>1.1198733586929596E-2</v>
      </c>
      <c r="F235" s="84">
        <f t="shared" ref="F235:G235" si="520">+F234/F$324</f>
        <v>1.2087607119129647E-2</v>
      </c>
      <c r="G235" s="84">
        <f t="shared" si="520"/>
        <v>9.878002757731234E-3</v>
      </c>
      <c r="H235" s="229">
        <f t="shared" ref="H235:I235" si="521">+H234/H$324</f>
        <v>7.8165428873148476E-3</v>
      </c>
      <c r="I235" s="84">
        <f t="shared" si="521"/>
        <v>6.5417815430918024E-3</v>
      </c>
      <c r="J235" s="109">
        <f t="shared" ref="J235" si="522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523">+P234/P$324</f>
        <v>1.1254535847271457E-2</v>
      </c>
      <c r="Q235" s="84">
        <f t="shared" ref="Q235" si="524">+Q234/Q$324</f>
        <v>1.1155404963965401E-2</v>
      </c>
      <c r="R235" s="84">
        <f t="shared" ref="R235" si="525">+R234/R$324</f>
        <v>1.172801840111177E-2</v>
      </c>
      <c r="S235" s="84">
        <f t="shared" ref="S235:W235" si="526">+S234/S$324</f>
        <v>1.1600077438856745E-2</v>
      </c>
      <c r="T235" s="84">
        <f t="shared" si="526"/>
        <v>1.1073601681453542E-2</v>
      </c>
      <c r="U235" s="84">
        <f t="shared" si="526"/>
        <v>8.4103695999732143E-3</v>
      </c>
      <c r="V235" s="84">
        <f t="shared" si="526"/>
        <v>7.4555210464932499E-3</v>
      </c>
      <c r="W235" s="109">
        <f t="shared" si="526"/>
        <v>6.543776301351693E-3</v>
      </c>
      <c r="X235" s="96">
        <f t="shared" ref="X235" si="527">+X234/X$324</f>
        <v>7.1564510456962006E-3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528">+D234/C234-1</f>
        <v>2.0785774360206455E-2</v>
      </c>
      <c r="E236" s="85">
        <f t="shared" ref="E236" si="529">+E234/D234-1</f>
        <v>-4.7434086629001726E-2</v>
      </c>
      <c r="F236" s="85">
        <f t="shared" ref="F236:J236" si="530">+F234/E234-1</f>
        <v>6.5612257506487248E-2</v>
      </c>
      <c r="G236" s="85">
        <f t="shared" si="530"/>
        <v>-6.2152133580705149E-2</v>
      </c>
      <c r="H236" s="85">
        <f t="shared" si="530"/>
        <v>-0.27427052423343212</v>
      </c>
      <c r="I236" s="85">
        <f t="shared" si="530"/>
        <v>-0.28975245753616019</v>
      </c>
      <c r="J236" s="85">
        <f t="shared" si="530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531">+Q234/P234-1</f>
        <v>-1.6110540402525575E-2</v>
      </c>
      <c r="R236" s="85">
        <f t="shared" ref="R236" si="532">+R234/Q234-1</f>
        <v>4.7640685428089968E-2</v>
      </c>
      <c r="S236" s="85">
        <f t="shared" ref="S236" si="533">+S234/R234-1</f>
        <v>-4.8818806565719797E-2</v>
      </c>
      <c r="T236" s="85">
        <f t="shared" ref="T236" si="534">+T234/S234-1</f>
        <v>3.6996129136858347E-2</v>
      </c>
      <c r="U236" s="85">
        <f t="shared" ref="U236" si="535">+U234/T234-1</f>
        <v>-0.21454674262485696</v>
      </c>
      <c r="V236" s="85">
        <f t="shared" ref="V236" si="536">+V234/U234-1</f>
        <v>-0.24010819481685508</v>
      </c>
      <c r="W236" s="111">
        <f t="shared" ref="W236:X236" si="537">+W234/V234-1</f>
        <v>-0.18259204486646474</v>
      </c>
      <c r="X236" s="100">
        <f t="shared" si="537"/>
        <v>0.10863776875232589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35" t="s">
        <v>73</v>
      </c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7"/>
      <c r="M238" s="2"/>
      <c r="N238" s="335" t="s">
        <v>74</v>
      </c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7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538">+C239+1</f>
        <v>2018</v>
      </c>
      <c r="E239" s="82">
        <f t="shared" ref="E239" si="539">+D239+1</f>
        <v>2019</v>
      </c>
      <c r="F239" s="82">
        <f t="shared" ref="F239" si="540">+E239+1</f>
        <v>2020</v>
      </c>
      <c r="G239" s="82">
        <f t="shared" ref="G239" si="541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542">+P239+1</f>
        <v>2018</v>
      </c>
      <c r="R239" s="82">
        <f t="shared" ref="R239" si="543">+Q239+1</f>
        <v>2019</v>
      </c>
      <c r="S239" s="82">
        <f t="shared" ref="S239" si="544">+R239+1</f>
        <v>2020</v>
      </c>
      <c r="T239" s="82">
        <f t="shared" ref="T239" si="545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546">+SUM(C240)+SUM(B241:B251)</f>
        <v>10.786659999999999</v>
      </c>
      <c r="Q240" s="6">
        <f t="shared" si="546"/>
        <v>10.326999999999998</v>
      </c>
      <c r="R240" s="6">
        <f t="shared" si="546"/>
        <v>11.065999999999999</v>
      </c>
      <c r="S240" s="6">
        <f t="shared" si="546"/>
        <v>9.7940000000000023</v>
      </c>
      <c r="T240" s="6">
        <f t="shared" si="546"/>
        <v>8.4060000000000006</v>
      </c>
      <c r="U240" s="6">
        <f t="shared" si="546"/>
        <v>11.951000000000001</v>
      </c>
      <c r="V240" s="6">
        <f t="shared" si="546"/>
        <v>13.109024999999999</v>
      </c>
      <c r="W240" s="105">
        <f t="shared" si="546"/>
        <v>10</v>
      </c>
      <c r="X240" s="90">
        <f t="shared" si="546"/>
        <v>9.9369999999999976</v>
      </c>
      <c r="Y240" s="117">
        <f t="shared" ref="Y240:Y241" si="547">+X240/W240-1</f>
        <v>-6.3000000000001943E-3</v>
      </c>
      <c r="Z240" s="113">
        <f t="shared" ref="Z240:Z241" si="548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549">+SUM(C240:C241)+SUM(B242:B251)</f>
        <v>10.45012</v>
      </c>
      <c r="Q241" s="6">
        <f t="shared" si="549"/>
        <v>10.581</v>
      </c>
      <c r="R241" s="6">
        <f t="shared" si="549"/>
        <v>11.073</v>
      </c>
      <c r="S241" s="6">
        <f t="shared" si="549"/>
        <v>9.5560000000000009</v>
      </c>
      <c r="T241" s="6">
        <f t="shared" si="549"/>
        <v>8.57</v>
      </c>
      <c r="U241" s="6">
        <f t="shared" si="549"/>
        <v>12.2697</v>
      </c>
      <c r="V241" s="6">
        <f t="shared" si="549"/>
        <v>12.966324999999999</v>
      </c>
      <c r="W241" s="105">
        <f t="shared" si="549"/>
        <v>10.16</v>
      </c>
      <c r="X241" s="90">
        <f t="shared" si="549"/>
        <v>9.5640000000000001</v>
      </c>
      <c r="Y241" s="117">
        <f t="shared" si="547"/>
        <v>-5.8661417322834697E-2</v>
      </c>
      <c r="Z241" s="113">
        <f t="shared" si="548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550">+SUM(C240:C242)+SUM(B243:B251)</f>
        <v>10.391539999999999</v>
      </c>
      <c r="Q242" s="6">
        <f t="shared" si="550"/>
        <v>10.654999999999999</v>
      </c>
      <c r="R242" s="6">
        <f t="shared" si="550"/>
        <v>11.373999999999999</v>
      </c>
      <c r="S242" s="6">
        <f t="shared" si="550"/>
        <v>8.9980000000000011</v>
      </c>
      <c r="T242" s="6">
        <f t="shared" si="550"/>
        <v>8.9200000000000017</v>
      </c>
      <c r="U242" s="6">
        <f t="shared" si="550"/>
        <v>12.4619</v>
      </c>
      <c r="V242" s="6">
        <f t="shared" si="550"/>
        <v>12.861124999999998</v>
      </c>
      <c r="W242" s="105">
        <f t="shared" si="550"/>
        <v>10.043000000000001</v>
      </c>
      <c r="X242" s="90">
        <f t="shared" ref="X242" si="551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/>
      <c r="L243" s="113"/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552">+SUM(C240:C243)+SUM(B244:B251)</f>
        <v>10.25624</v>
      </c>
      <c r="Q243" s="6">
        <f t="shared" si="552"/>
        <v>10.754999999999999</v>
      </c>
      <c r="R243" s="6">
        <f t="shared" si="552"/>
        <v>11.306000000000001</v>
      </c>
      <c r="S243" s="6">
        <f t="shared" si="552"/>
        <v>8.8979999999999997</v>
      </c>
      <c r="T243" s="6">
        <f t="shared" si="552"/>
        <v>9.020999999999999</v>
      </c>
      <c r="U243" s="6">
        <f t="shared" si="552"/>
        <v>12.816695000000001</v>
      </c>
      <c r="V243" s="6">
        <f t="shared" si="552"/>
        <v>12.35233</v>
      </c>
      <c r="W243" s="105">
        <f t="shared" si="552"/>
        <v>10.225999999999999</v>
      </c>
      <c r="X243" s="90"/>
      <c r="Y243" s="117"/>
      <c r="Z243" s="113"/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/>
      <c r="L244" s="113"/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553">+SUM(C240:C244)+SUM(B245:B251)</f>
        <v>10.612089999999998</v>
      </c>
      <c r="Q244" s="6">
        <f t="shared" si="553"/>
        <v>10.414</v>
      </c>
      <c r="R244" s="6">
        <f t="shared" si="553"/>
        <v>11.151999999999999</v>
      </c>
      <c r="S244" s="6">
        <f t="shared" si="553"/>
        <v>9.0820000000000007</v>
      </c>
      <c r="T244" s="6">
        <f t="shared" si="553"/>
        <v>8.9169999999999998</v>
      </c>
      <c r="U244" s="6">
        <f t="shared" si="553"/>
        <v>13.216675</v>
      </c>
      <c r="V244" s="6">
        <f t="shared" si="553"/>
        <v>11.994350000000001</v>
      </c>
      <c r="W244" s="105">
        <f t="shared" si="553"/>
        <v>10.013999999999999</v>
      </c>
      <c r="X244" s="90"/>
      <c r="Y244" s="117"/>
      <c r="Z244" s="113"/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/>
      <c r="L245" s="113"/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554">+SUM(C240:C245)+SUM(B246:B251)</f>
        <v>10.348980000000001</v>
      </c>
      <c r="Q245" s="6">
        <f t="shared" si="554"/>
        <v>10.646000000000001</v>
      </c>
      <c r="R245" s="6">
        <f t="shared" si="554"/>
        <v>10.988999999999997</v>
      </c>
      <c r="S245" s="6">
        <f t="shared" si="554"/>
        <v>8.8849999999999998</v>
      </c>
      <c r="T245" s="6">
        <f t="shared" si="554"/>
        <v>9.7349999999999994</v>
      </c>
      <c r="U245" s="6">
        <f t="shared" si="554"/>
        <v>13.110065000000001</v>
      </c>
      <c r="V245" s="6">
        <f t="shared" si="554"/>
        <v>11.523960000000002</v>
      </c>
      <c r="W245" s="105">
        <f t="shared" si="554"/>
        <v>9.8650000000000002</v>
      </c>
      <c r="X245" s="90"/>
      <c r="Y245" s="117"/>
      <c r="Z245" s="113"/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/>
      <c r="L246" s="113"/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555">+SUM(C240:C246)+SUM(B247:B251)</f>
        <v>10.75578</v>
      </c>
      <c r="Q246" s="6">
        <f t="shared" si="555"/>
        <v>11.202</v>
      </c>
      <c r="R246" s="6">
        <f t="shared" si="555"/>
        <v>10.122999999999999</v>
      </c>
      <c r="S246" s="6">
        <f t="shared" si="555"/>
        <v>8.4589999999999996</v>
      </c>
      <c r="T246" s="6">
        <f t="shared" si="555"/>
        <v>10.381</v>
      </c>
      <c r="U246" s="6">
        <f t="shared" si="555"/>
        <v>13.096155</v>
      </c>
      <c r="V246" s="6">
        <f t="shared" si="555"/>
        <v>11.255870000000002</v>
      </c>
      <c r="W246" s="105">
        <f t="shared" si="555"/>
        <v>10.022</v>
      </c>
      <c r="X246" s="90"/>
      <c r="Y246" s="117"/>
      <c r="Z246" s="113"/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/>
      <c r="L247" s="113"/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556">+SUM(C240:C247)+SUM(B248:B251)</f>
        <v>10.650009999999998</v>
      </c>
      <c r="Q247" s="6">
        <f t="shared" si="556"/>
        <v>10.752000000000001</v>
      </c>
      <c r="R247" s="6">
        <f t="shared" si="556"/>
        <v>10.071999999999999</v>
      </c>
      <c r="S247" s="6">
        <f t="shared" si="556"/>
        <v>8.6740000000000013</v>
      </c>
      <c r="T247" s="6">
        <f t="shared" si="556"/>
        <v>10.210000000000001</v>
      </c>
      <c r="U247" s="6">
        <f t="shared" si="556"/>
        <v>13.666995</v>
      </c>
      <c r="V247" s="6">
        <f t="shared" si="556"/>
        <v>10.62003</v>
      </c>
      <c r="W247" s="105">
        <f t="shared" si="556"/>
        <v>9.9239999999999995</v>
      </c>
      <c r="X247" s="105"/>
      <c r="Y247" s="117"/>
      <c r="Z247" s="113"/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/>
      <c r="L248" s="113"/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557">+SUM(C240:C248)+SUM(B249:B251)</f>
        <v>10.51327</v>
      </c>
      <c r="Q248" s="6">
        <f t="shared" si="557"/>
        <v>10.953000000000001</v>
      </c>
      <c r="R248" s="6">
        <f t="shared" si="557"/>
        <v>9.7999999999999989</v>
      </c>
      <c r="S248" s="6">
        <f t="shared" si="557"/>
        <v>8.6900000000000013</v>
      </c>
      <c r="T248" s="6">
        <f t="shared" si="557"/>
        <v>10.737</v>
      </c>
      <c r="U248" s="6">
        <f t="shared" si="557"/>
        <v>13.713985000000001</v>
      </c>
      <c r="V248" s="6">
        <f t="shared" si="557"/>
        <v>10.130040000000001</v>
      </c>
      <c r="W248" s="105">
        <f t="shared" si="557"/>
        <v>10.535</v>
      </c>
      <c r="X248" s="105"/>
      <c r="Y248" s="117"/>
      <c r="Z248" s="113"/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/>
      <c r="L249" s="113"/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558">+SUM(C240:C249)+SUM(B250:B251)</f>
        <v>10.565000000000001</v>
      </c>
      <c r="Q249" s="6">
        <f t="shared" si="558"/>
        <v>11.018000000000001</v>
      </c>
      <c r="R249" s="6">
        <f t="shared" si="558"/>
        <v>9.782</v>
      </c>
      <c r="S249" s="6">
        <f t="shared" si="558"/>
        <v>8.5920000000000023</v>
      </c>
      <c r="T249" s="6">
        <f t="shared" si="558"/>
        <v>10.91</v>
      </c>
      <c r="U249" s="6">
        <f t="shared" si="558"/>
        <v>13.582025</v>
      </c>
      <c r="V249" s="6">
        <f t="shared" si="558"/>
        <v>10.032000000000002</v>
      </c>
      <c r="W249" s="105">
        <f t="shared" si="558"/>
        <v>10.698</v>
      </c>
      <c r="X249" s="90"/>
      <c r="Y249" s="117"/>
      <c r="Z249" s="113"/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559">+SUM(C240:C250)+SUM(B251)</f>
        <v>10.670999999999999</v>
      </c>
      <c r="Q250" s="6">
        <f t="shared" si="559"/>
        <v>11.048000000000002</v>
      </c>
      <c r="R250" s="6">
        <f t="shared" si="559"/>
        <v>9.5380000000000003</v>
      </c>
      <c r="S250" s="6">
        <f t="shared" si="559"/>
        <v>8.8120000000000012</v>
      </c>
      <c r="T250" s="6">
        <f t="shared" si="559"/>
        <v>11.216000000000001</v>
      </c>
      <c r="U250" s="6">
        <f t="shared" si="559"/>
        <v>13.427024999999999</v>
      </c>
      <c r="V250" s="6">
        <f t="shared" si="559"/>
        <v>9.91</v>
      </c>
      <c r="W250" s="105">
        <f t="shared" si="559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560">+SUM(C240:C251)</f>
        <v>10.515000000000001</v>
      </c>
      <c r="Q251" s="6">
        <f t="shared" si="560"/>
        <v>10.921000000000001</v>
      </c>
      <c r="R251" s="6">
        <f t="shared" si="560"/>
        <v>9.6910000000000007</v>
      </c>
      <c r="S251" s="6">
        <f t="shared" si="560"/>
        <v>8.6240000000000006</v>
      </c>
      <c r="T251" s="6">
        <f t="shared" si="560"/>
        <v>11.861000000000001</v>
      </c>
      <c r="U251" s="6">
        <f t="shared" si="560"/>
        <v>12.997024999999999</v>
      </c>
      <c r="V251" s="6">
        <f t="shared" si="560"/>
        <v>10.024000000000001</v>
      </c>
      <c r="W251" s="105">
        <f t="shared" si="560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561">SUM(G240:G251)</f>
        <v>11.861000000000001</v>
      </c>
      <c r="H252" s="219">
        <f t="shared" si="561"/>
        <v>12.997024999999999</v>
      </c>
      <c r="I252" s="219">
        <f t="shared" si="561"/>
        <v>10.024000000000001</v>
      </c>
      <c r="J252" s="252">
        <f t="shared" ref="J252" si="562">SUM(J240:J251)</f>
        <v>10.167999999999999</v>
      </c>
      <c r="K252" s="251"/>
      <c r="L252" s="173"/>
      <c r="M252" s="3"/>
      <c r="N252" s="92" t="s">
        <v>14</v>
      </c>
      <c r="O252" s="106">
        <f t="shared" ref="O252:W252" si="563">+AVERAGE(O240:O251)</f>
        <v>10.536974592724997</v>
      </c>
      <c r="P252" s="83">
        <f t="shared" si="563"/>
        <v>10.542974166666665</v>
      </c>
      <c r="Q252" s="83">
        <f t="shared" si="563"/>
        <v>10.772666666666666</v>
      </c>
      <c r="R252" s="83">
        <f t="shared" si="563"/>
        <v>10.497166666666667</v>
      </c>
      <c r="S252" s="83">
        <f t="shared" si="563"/>
        <v>8.9219999999999988</v>
      </c>
      <c r="T252" s="83">
        <f t="shared" si="563"/>
        <v>9.907</v>
      </c>
      <c r="U252" s="83">
        <f t="shared" si="563"/>
        <v>13.025770416666665</v>
      </c>
      <c r="V252" s="83">
        <f t="shared" si="563"/>
        <v>11.398254583333335</v>
      </c>
      <c r="W252" s="107">
        <f t="shared" si="563"/>
        <v>10.168083333333334</v>
      </c>
      <c r="X252" s="93">
        <f t="shared" ref="X252" si="564">+AVERAGE(X240:X251)</f>
        <v>9.5616666666666656</v>
      </c>
      <c r="Y252" s="119">
        <f>+X252/W252-1</f>
        <v>-5.9639230599014992E-2</v>
      </c>
      <c r="Z252" s="173">
        <f>+POWER(X252/S252,0.2)-1</f>
        <v>1.3944715557216547E-2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565">+C252/C$324</f>
        <v>1.4227955802002062E-2</v>
      </c>
      <c r="D253" s="84">
        <f t="shared" ref="D253" si="566">+D252/D$324</f>
        <v>1.4809902740937226E-2</v>
      </c>
      <c r="E253" s="84">
        <f t="shared" ref="E253" si="567">+E252/E$324</f>
        <v>1.3409974940187164E-2</v>
      </c>
      <c r="F253" s="84">
        <f t="shared" ref="F253:G253" si="568">+F252/F$324</f>
        <v>1.2087607119129647E-2</v>
      </c>
      <c r="G253" s="84">
        <f t="shared" si="568"/>
        <v>1.4486027535787609E-2</v>
      </c>
      <c r="H253" s="229">
        <f t="shared" ref="H253:I253" si="569">+H252/H$324</f>
        <v>1.7307835719032189E-2</v>
      </c>
      <c r="I253" s="84">
        <f t="shared" si="569"/>
        <v>1.572937441842584E-2</v>
      </c>
      <c r="J253" s="109">
        <f t="shared" ref="J253" si="570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571">+P252/P$324</f>
        <v>1.4146152966156367E-2</v>
      </c>
      <c r="Q253" s="84">
        <f t="shared" ref="Q253" si="572">+Q252/Q$324</f>
        <v>1.4561626028715033E-2</v>
      </c>
      <c r="R253" s="84">
        <f t="shared" ref="R253" si="573">+R252/R$324</f>
        <v>1.4239203149024542E-2</v>
      </c>
      <c r="S253" s="84">
        <f t="shared" ref="S253:W253" si="574">+S252/S$324</f>
        <v>1.2584872128911481E-2</v>
      </c>
      <c r="T253" s="84">
        <f t="shared" si="574"/>
        <v>1.2864106455123005E-2</v>
      </c>
      <c r="U253" s="84">
        <f t="shared" si="574"/>
        <v>1.6354855838850893E-2</v>
      </c>
      <c r="V253" s="84">
        <f t="shared" si="574"/>
        <v>1.6695245581582134E-2</v>
      </c>
      <c r="W253" s="109">
        <f t="shared" si="574"/>
        <v>1.5992086854815749E-2</v>
      </c>
      <c r="X253" s="96">
        <f t="shared" ref="X253" si="575">+X252/X$324</f>
        <v>1.4834715872654681E-2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576">+D252/C252-1</f>
        <v>3.8611507370423181E-2</v>
      </c>
      <c r="E254" s="85">
        <f t="shared" ref="E254" si="577">+E252/D252-1</f>
        <v>-0.11262704880505447</v>
      </c>
      <c r="F254" s="85">
        <f t="shared" ref="F254:J254" si="578">+F252/E252-1</f>
        <v>-0.11010215664018164</v>
      </c>
      <c r="G254" s="85">
        <f t="shared" si="578"/>
        <v>0.37534786641929507</v>
      </c>
      <c r="H254" s="85">
        <f t="shared" si="578"/>
        <v>9.5778180591855611E-2</v>
      </c>
      <c r="I254" s="85">
        <f t="shared" si="578"/>
        <v>-0.22874657854393587</v>
      </c>
      <c r="J254" s="85">
        <f t="shared" si="578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579">+Q252/P252-1</f>
        <v>2.1786309666413706E-2</v>
      </c>
      <c r="R254" s="85">
        <f t="shared" ref="R254" si="580">+R252/Q252-1</f>
        <v>-2.5573983538585199E-2</v>
      </c>
      <c r="S254" s="85">
        <f t="shared" ref="S254" si="581">+S252/R252-1</f>
        <v>-0.15005636441579484</v>
      </c>
      <c r="T254" s="85">
        <f t="shared" ref="T254" si="582">+T252/S252-1</f>
        <v>0.11040125532391865</v>
      </c>
      <c r="U254" s="85">
        <f t="shared" ref="U254" si="583">+U252/T252-1</f>
        <v>0.31480472561488493</v>
      </c>
      <c r="V254" s="85">
        <f t="shared" ref="V254" si="584">+V252/U252-1</f>
        <v>-0.12494584053553559</v>
      </c>
      <c r="W254" s="111">
        <f t="shared" ref="W254:X254" si="585">+W252/V252-1</f>
        <v>-0.10792628301167906</v>
      </c>
      <c r="X254" s="100">
        <f t="shared" si="585"/>
        <v>-5.9639230599014992E-2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35" t="s">
        <v>75</v>
      </c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7"/>
      <c r="M256" s="2"/>
      <c r="N256" s="335" t="s">
        <v>76</v>
      </c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7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586">+C257+1</f>
        <v>2018</v>
      </c>
      <c r="E257" s="82">
        <f t="shared" ref="E257" si="587">+D257+1</f>
        <v>2019</v>
      </c>
      <c r="F257" s="82">
        <f t="shared" ref="F257" si="588">+E257+1</f>
        <v>2020</v>
      </c>
      <c r="G257" s="82">
        <f t="shared" ref="G257" si="589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590">+P257+1</f>
        <v>2018</v>
      </c>
      <c r="R257" s="82">
        <f t="shared" ref="R257" si="591">+Q257+1</f>
        <v>2019</v>
      </c>
      <c r="S257" s="82">
        <f t="shared" ref="S257" si="592">+R257+1</f>
        <v>2020</v>
      </c>
      <c r="T257" s="82">
        <f t="shared" ref="T257" si="593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594">+SUM(C258)+SUM(B259:B269)</f>
        <v>37.809090000000005</v>
      </c>
      <c r="Q258" s="6">
        <f t="shared" si="594"/>
        <v>35.365000000000002</v>
      </c>
      <c r="R258" s="6">
        <f t="shared" si="594"/>
        <v>34.559000000000005</v>
      </c>
      <c r="S258" s="6">
        <f t="shared" si="594"/>
        <v>37.029000000000003</v>
      </c>
      <c r="T258" s="6">
        <f t="shared" si="594"/>
        <v>41.937999999999995</v>
      </c>
      <c r="U258" s="6">
        <f t="shared" si="594"/>
        <v>48.063000000000002</v>
      </c>
      <c r="V258" s="6">
        <f t="shared" si="594"/>
        <v>45.069160000000011</v>
      </c>
      <c r="W258" s="105">
        <f t="shared" si="594"/>
        <v>36.477000000000004</v>
      </c>
      <c r="X258" s="90">
        <f t="shared" si="594"/>
        <v>38.485000000000007</v>
      </c>
      <c r="Y258" s="117">
        <f t="shared" ref="Y258:Y259" si="595">+X258/W258-1</f>
        <v>5.504838665460432E-2</v>
      </c>
      <c r="Z258" s="113">
        <f t="shared" ref="Z258:Z259" si="596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597">+SUM(C258:C259)+SUM(B260:B269)</f>
        <v>37.277879999999996</v>
      </c>
      <c r="Q259" s="6">
        <f t="shared" si="597"/>
        <v>35.730999999999995</v>
      </c>
      <c r="R259" s="6">
        <f t="shared" si="597"/>
        <v>34.435000000000002</v>
      </c>
      <c r="S259" s="6">
        <f t="shared" si="597"/>
        <v>37.76400000000001</v>
      </c>
      <c r="T259" s="6">
        <f t="shared" si="597"/>
        <v>41.896000000000001</v>
      </c>
      <c r="U259" s="6">
        <f t="shared" si="597"/>
        <v>49.760800000000003</v>
      </c>
      <c r="V259" s="6">
        <f t="shared" si="597"/>
        <v>42.397360000000006</v>
      </c>
      <c r="W259" s="105">
        <f t="shared" si="597"/>
        <v>37.128999999999998</v>
      </c>
      <c r="X259" s="90">
        <f t="shared" si="597"/>
        <v>38.412999999999997</v>
      </c>
      <c r="Y259" s="117">
        <f t="shared" si="595"/>
        <v>3.4582132564841439E-2</v>
      </c>
      <c r="Z259" s="113">
        <f t="shared" si="596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598">+SUM(C258:C260)+SUM(B261:B269)</f>
        <v>37.26126</v>
      </c>
      <c r="Q260" s="6">
        <f t="shared" si="598"/>
        <v>35.643000000000001</v>
      </c>
      <c r="R260" s="6">
        <f t="shared" si="598"/>
        <v>34.623999999999995</v>
      </c>
      <c r="S260" s="6">
        <f t="shared" si="598"/>
        <v>37.442999999999998</v>
      </c>
      <c r="T260" s="6">
        <f t="shared" si="598"/>
        <v>42.997999999999998</v>
      </c>
      <c r="U260" s="6">
        <f t="shared" si="598"/>
        <v>49.765199999999993</v>
      </c>
      <c r="V260" s="6">
        <f t="shared" si="598"/>
        <v>42.02196</v>
      </c>
      <c r="W260" s="105">
        <f t="shared" si="598"/>
        <v>35.951999999999998</v>
      </c>
      <c r="X260" s="90">
        <f t="shared" ref="X260" si="599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/>
      <c r="L261" s="113"/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600">+SUM(C258:C261)+SUM(B262:B269)</f>
        <v>35.910160000000005</v>
      </c>
      <c r="Q261" s="6">
        <f t="shared" si="600"/>
        <v>35.551000000000002</v>
      </c>
      <c r="R261" s="6">
        <f t="shared" si="600"/>
        <v>35.171999999999997</v>
      </c>
      <c r="S261" s="6">
        <f t="shared" si="600"/>
        <v>38.346000000000004</v>
      </c>
      <c r="T261" s="6">
        <f t="shared" si="600"/>
        <v>42.545999999999999</v>
      </c>
      <c r="U261" s="6">
        <f t="shared" si="600"/>
        <v>50.244</v>
      </c>
      <c r="V261" s="6">
        <f t="shared" si="600"/>
        <v>41.04316</v>
      </c>
      <c r="W261" s="105">
        <f t="shared" si="600"/>
        <v>35.549999999999997</v>
      </c>
      <c r="X261" s="90"/>
      <c r="Y261" s="117"/>
      <c r="Z261" s="113"/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/>
      <c r="L262" s="113"/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601">+SUM(C258:C262)+SUM(B263:B269)</f>
        <v>35.654260000000008</v>
      </c>
      <c r="Q262" s="6">
        <f t="shared" si="601"/>
        <v>35.405000000000001</v>
      </c>
      <c r="R262" s="6">
        <f t="shared" si="601"/>
        <v>35.753</v>
      </c>
      <c r="S262" s="6">
        <f t="shared" si="601"/>
        <v>37.794000000000004</v>
      </c>
      <c r="T262" s="6">
        <f t="shared" si="601"/>
        <v>44.186999999999998</v>
      </c>
      <c r="U262" s="6">
        <f t="shared" si="601"/>
        <v>49.476289999999999</v>
      </c>
      <c r="V262" s="6">
        <f t="shared" si="601"/>
        <v>40.77487</v>
      </c>
      <c r="W262" s="105">
        <f t="shared" si="601"/>
        <v>35.823</v>
      </c>
      <c r="X262" s="90"/>
      <c r="Y262" s="117"/>
      <c r="Z262" s="113"/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/>
      <c r="L263" s="113"/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602">+SUM(C258:C263)+SUM(B264:B269)</f>
        <v>36.427250000000001</v>
      </c>
      <c r="Q263" s="6">
        <f t="shared" si="602"/>
        <v>34.186000000000007</v>
      </c>
      <c r="R263" s="6">
        <f t="shared" si="602"/>
        <v>35.897999999999996</v>
      </c>
      <c r="S263" s="6">
        <f t="shared" si="602"/>
        <v>38.249000000000002</v>
      </c>
      <c r="T263" s="6">
        <f t="shared" si="602"/>
        <v>45.293000000000006</v>
      </c>
      <c r="U263" s="6">
        <f t="shared" si="602"/>
        <v>49.976560000000006</v>
      </c>
      <c r="V263" s="6">
        <f t="shared" si="602"/>
        <v>39.165599999999998</v>
      </c>
      <c r="W263" s="105">
        <f t="shared" si="602"/>
        <v>35.787999999999997</v>
      </c>
      <c r="X263" s="90"/>
      <c r="Y263" s="117"/>
      <c r="Z263" s="113"/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/>
      <c r="L264" s="113"/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603">+SUM(C258:C264)+SUM(B265:B269)</f>
        <v>36.720179999999999</v>
      </c>
      <c r="Q264" s="6">
        <f t="shared" si="603"/>
        <v>34.596000000000004</v>
      </c>
      <c r="R264" s="6">
        <f t="shared" si="603"/>
        <v>35.900999999999996</v>
      </c>
      <c r="S264" s="6">
        <f t="shared" si="603"/>
        <v>39.492000000000004</v>
      </c>
      <c r="T264" s="6">
        <f t="shared" si="603"/>
        <v>45.062000000000005</v>
      </c>
      <c r="U264" s="6">
        <f t="shared" si="603"/>
        <v>49.12303</v>
      </c>
      <c r="V264" s="6">
        <f t="shared" si="603"/>
        <v>39.060130000000001</v>
      </c>
      <c r="W264" s="105">
        <f t="shared" si="603"/>
        <v>37.161999999999999</v>
      </c>
      <c r="X264" s="90"/>
      <c r="Y264" s="117"/>
      <c r="Z264" s="113"/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/>
      <c r="L265" s="113"/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604">+SUM(C258:C265)+SUM(B266:B269)</f>
        <v>36.329250000000002</v>
      </c>
      <c r="Q265" s="6">
        <f t="shared" si="604"/>
        <v>34.290000000000006</v>
      </c>
      <c r="R265" s="6">
        <f t="shared" si="604"/>
        <v>36.400999999999996</v>
      </c>
      <c r="S265" s="6">
        <f t="shared" si="604"/>
        <v>39.897999999999996</v>
      </c>
      <c r="T265" s="6">
        <f t="shared" si="604"/>
        <v>44.701999999999998</v>
      </c>
      <c r="U265" s="6">
        <f t="shared" si="604"/>
        <v>49.405239999999999</v>
      </c>
      <c r="V265" s="6">
        <f t="shared" si="604"/>
        <v>38.865920000000003</v>
      </c>
      <c r="W265" s="105">
        <f t="shared" si="604"/>
        <v>36.872999999999998</v>
      </c>
      <c r="X265" s="105"/>
      <c r="Y265" s="117"/>
      <c r="Z265" s="113"/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/>
      <c r="L266" s="113"/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605">+SUM(C258:C266)+SUM(B267:B269)</f>
        <v>35.77111</v>
      </c>
      <c r="Q266" s="6">
        <f t="shared" si="605"/>
        <v>34.676000000000002</v>
      </c>
      <c r="R266" s="6">
        <f t="shared" si="605"/>
        <v>36.350999999999999</v>
      </c>
      <c r="S266" s="6">
        <f t="shared" si="605"/>
        <v>40.465999999999994</v>
      </c>
      <c r="T266" s="6">
        <f t="shared" si="605"/>
        <v>45.812000000000005</v>
      </c>
      <c r="U266" s="6">
        <f t="shared" si="605"/>
        <v>48.279400000000003</v>
      </c>
      <c r="V266" s="6">
        <f t="shared" si="605"/>
        <v>38.491759999999999</v>
      </c>
      <c r="W266" s="105">
        <f t="shared" si="605"/>
        <v>36.853999999999999</v>
      </c>
      <c r="X266" s="105"/>
      <c r="Y266" s="117"/>
      <c r="Z266" s="113"/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/>
      <c r="L267" s="113"/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606">+SUM(C258:C267)+SUM(B268:B269)</f>
        <v>35.552</v>
      </c>
      <c r="Q267" s="6">
        <f t="shared" si="606"/>
        <v>35.025000000000006</v>
      </c>
      <c r="R267" s="6">
        <f t="shared" si="606"/>
        <v>36.064999999999998</v>
      </c>
      <c r="S267" s="6">
        <f t="shared" si="606"/>
        <v>40.795000000000002</v>
      </c>
      <c r="T267" s="6">
        <f t="shared" si="606"/>
        <v>46.24</v>
      </c>
      <c r="U267" s="6">
        <f t="shared" si="606"/>
        <v>47.54016</v>
      </c>
      <c r="V267" s="6">
        <f t="shared" si="606"/>
        <v>38.116000000000007</v>
      </c>
      <c r="W267" s="105">
        <f t="shared" si="606"/>
        <v>38.226999999999997</v>
      </c>
      <c r="X267" s="90"/>
      <c r="Y267" s="117"/>
      <c r="Z267" s="113"/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607">+SUM(C258:C268)+SUM(B269)</f>
        <v>35.567</v>
      </c>
      <c r="Q268" s="6">
        <f t="shared" si="607"/>
        <v>34.968000000000011</v>
      </c>
      <c r="R268" s="6">
        <f t="shared" si="607"/>
        <v>36.152999999999999</v>
      </c>
      <c r="S268" s="6">
        <f t="shared" si="607"/>
        <v>41.166999999999994</v>
      </c>
      <c r="T268" s="6">
        <f t="shared" si="607"/>
        <v>46.785000000000004</v>
      </c>
      <c r="U268" s="6">
        <f t="shared" si="607"/>
        <v>46.901160000000004</v>
      </c>
      <c r="V268" s="6">
        <f t="shared" si="607"/>
        <v>38.218000000000004</v>
      </c>
      <c r="W268" s="105">
        <f t="shared" si="607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608">+SUM(C258:C269)</f>
        <v>35.39</v>
      </c>
      <c r="Q269" s="6">
        <f t="shared" si="608"/>
        <v>34.845000000000006</v>
      </c>
      <c r="R269" s="6">
        <f t="shared" si="608"/>
        <v>36.823</v>
      </c>
      <c r="S269" s="6">
        <f t="shared" si="608"/>
        <v>41.183999999999997</v>
      </c>
      <c r="T269" s="6">
        <f t="shared" si="608"/>
        <v>48.606999999999999</v>
      </c>
      <c r="U269" s="6">
        <f t="shared" si="608"/>
        <v>44.830160000000006</v>
      </c>
      <c r="V269" s="6">
        <f t="shared" si="608"/>
        <v>37.529000000000003</v>
      </c>
      <c r="W269" s="105">
        <f t="shared" si="608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609">SUM(C258:C269)</f>
        <v>35.39</v>
      </c>
      <c r="D270" s="219">
        <f t="shared" si="609"/>
        <v>34.845000000000006</v>
      </c>
      <c r="E270" s="219">
        <f t="shared" si="609"/>
        <v>36.823</v>
      </c>
      <c r="F270" s="219">
        <f t="shared" si="609"/>
        <v>41.183999999999997</v>
      </c>
      <c r="G270" s="219">
        <f t="shared" si="609"/>
        <v>48.606999999999999</v>
      </c>
      <c r="H270" s="219">
        <f t="shared" ref="H270:I270" si="610">SUM(H258:H269)</f>
        <v>44.830160000000006</v>
      </c>
      <c r="I270" s="219">
        <f t="shared" si="610"/>
        <v>37.529000000000003</v>
      </c>
      <c r="J270" s="252">
        <f t="shared" ref="J270" si="611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612">+AVERAGE(Q258:Q269)</f>
        <v>35.023416666666677</v>
      </c>
      <c r="R270" s="83">
        <f t="shared" si="612"/>
        <v>35.677916666666668</v>
      </c>
      <c r="S270" s="83">
        <f t="shared" si="612"/>
        <v>39.135583333333329</v>
      </c>
      <c r="T270" s="83">
        <f t="shared" si="612"/>
        <v>44.672166666666669</v>
      </c>
      <c r="U270" s="83">
        <f t="shared" si="612"/>
        <v>48.613750000000003</v>
      </c>
      <c r="V270" s="83">
        <f t="shared" si="612"/>
        <v>40.062743333333337</v>
      </c>
      <c r="W270" s="107">
        <f t="shared" si="612"/>
        <v>36.858666666666664</v>
      </c>
      <c r="X270" s="93">
        <f t="shared" ref="X270" si="613">+AVERAGE(X258:X269)</f>
        <v>38.624666666666663</v>
      </c>
      <c r="Y270" s="119">
        <f>+X270/W270-1</f>
        <v>4.7912747793372734E-2</v>
      </c>
      <c r="Z270" s="173">
        <f>+POWER(X270/S270,0.2)-1</f>
        <v>-2.6247508266118436E-3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614">+C270/C$324</f>
        <v>4.7886576874260865E-2</v>
      </c>
      <c r="D271" s="84">
        <f t="shared" ref="D271" si="615">+D270/D$324</f>
        <v>4.725309596263691E-2</v>
      </c>
      <c r="E271" s="84">
        <f t="shared" ref="E271" si="616">+E270/E$324</f>
        <v>5.0954030257198635E-2</v>
      </c>
      <c r="F271" s="84">
        <f t="shared" ref="F271:G271" si="617">+F270/F$324</f>
        <v>5.7724491140333407E-2</v>
      </c>
      <c r="G271" s="84">
        <f t="shared" si="617"/>
        <v>5.9364500500128849E-2</v>
      </c>
      <c r="H271" s="229">
        <f t="shared" ref="H271:I271" si="618">+H270/H$324</f>
        <v>5.9699280761399492E-2</v>
      </c>
      <c r="I271" s="84">
        <f t="shared" si="618"/>
        <v>5.8889434611841915E-2</v>
      </c>
      <c r="J271" s="109">
        <f t="shared" ref="J271" si="619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620">+P270/P$324</f>
        <v>4.8713693462998031E-2</v>
      </c>
      <c r="Q271" s="84">
        <f t="shared" ref="Q271" si="621">+Q270/Q$324</f>
        <v>4.7341843159960276E-2</v>
      </c>
      <c r="R271" s="84">
        <f t="shared" ref="R271" si="622">+R270/R$324</f>
        <v>4.8396402522963518E-2</v>
      </c>
      <c r="S271" s="84">
        <f t="shared" ref="S271:W271" si="623">+S270/S$324</f>
        <v>5.5202455944895687E-2</v>
      </c>
      <c r="T271" s="84">
        <f t="shared" si="623"/>
        <v>5.8006208497122985E-2</v>
      </c>
      <c r="U271" s="84">
        <f t="shared" si="623"/>
        <v>6.1038299279298887E-2</v>
      </c>
      <c r="V271" s="84">
        <f t="shared" si="623"/>
        <v>5.8680680777204584E-2</v>
      </c>
      <c r="W271" s="109">
        <f t="shared" si="623"/>
        <v>5.7970315482534604E-2</v>
      </c>
      <c r="X271" s="96">
        <f t="shared" ref="X271" si="624">+X270/X$324</f>
        <v>5.9925322190273266E-2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625">+D270/C270-1</f>
        <v>-1.5399830460581909E-2</v>
      </c>
      <c r="E272" s="85">
        <f t="shared" ref="E272" si="626">+E270/D270-1</f>
        <v>5.676567656765652E-2</v>
      </c>
      <c r="F272" s="85">
        <f t="shared" ref="F272:J272" si="627">+F270/E270-1</f>
        <v>0.11843141514814093</v>
      </c>
      <c r="G272" s="85">
        <f t="shared" si="627"/>
        <v>0.18023989898989901</v>
      </c>
      <c r="H272" s="85">
        <f t="shared" si="627"/>
        <v>-7.7701565618120694E-2</v>
      </c>
      <c r="I272" s="85">
        <f t="shared" si="627"/>
        <v>-0.16286267994582226</v>
      </c>
      <c r="J272" s="85">
        <f t="shared" si="627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628">+Q270/P270-1</f>
        <v>-3.5321366584720737E-2</v>
      </c>
      <c r="R272" s="85">
        <f t="shared" ref="R272" si="629">+R270/Q270-1</f>
        <v>1.8687497174509238E-2</v>
      </c>
      <c r="S272" s="85">
        <f t="shared" ref="S272" si="630">+S270/R270-1</f>
        <v>9.6913356768308923E-2</v>
      </c>
      <c r="T272" s="85">
        <f t="shared" ref="T272" si="631">+T270/S270-1</f>
        <v>0.14147184893543185</v>
      </c>
      <c r="U272" s="85">
        <f t="shared" ref="U272" si="632">+U270/T270-1</f>
        <v>8.8233538407584078E-2</v>
      </c>
      <c r="V272" s="85">
        <f t="shared" ref="V272" si="633">+V270/U270-1</f>
        <v>-0.17589687416968791</v>
      </c>
      <c r="W272" s="111">
        <f t="shared" ref="W272:X272" si="634">+W270/V270-1</f>
        <v>-7.9976466913607269E-2</v>
      </c>
      <c r="X272" s="100">
        <f t="shared" si="634"/>
        <v>4.7912747793372734E-2</v>
      </c>
      <c r="Y272" s="99"/>
      <c r="Z272" s="115"/>
    </row>
    <row r="273" spans="1:26" ht="15.75" thickBot="1" x14ac:dyDescent="0.3"/>
    <row r="274" spans="1:26" ht="15.75" thickBot="1" x14ac:dyDescent="0.3">
      <c r="A274" s="335" t="s">
        <v>77</v>
      </c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7"/>
      <c r="M274" s="2"/>
      <c r="N274" s="335" t="s">
        <v>78</v>
      </c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7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635">+C275+1</f>
        <v>2018</v>
      </c>
      <c r="E275" s="82">
        <f t="shared" ref="E275" si="636">+D275+1</f>
        <v>2019</v>
      </c>
      <c r="F275" s="82">
        <f t="shared" ref="F275" si="637">+E275+1</f>
        <v>2020</v>
      </c>
      <c r="G275" s="82">
        <f t="shared" ref="G275" si="638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639">+P275+1</f>
        <v>2018</v>
      </c>
      <c r="R275" s="82">
        <f t="shared" ref="R275" si="640">+Q275+1</f>
        <v>2019</v>
      </c>
      <c r="S275" s="82">
        <f t="shared" ref="S275" si="641">+R275+1</f>
        <v>2020</v>
      </c>
      <c r="T275" s="82">
        <f t="shared" ref="T275" si="642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643">+SUM(C276)+SUM(B277:B287)</f>
        <v>16.014680000000002</v>
      </c>
      <c r="Q276" s="6">
        <f t="shared" si="643"/>
        <v>14.431000000000001</v>
      </c>
      <c r="R276" s="6">
        <f t="shared" si="643"/>
        <v>13.268999999999998</v>
      </c>
      <c r="S276" s="6">
        <f t="shared" si="643"/>
        <v>12.779</v>
      </c>
      <c r="T276" s="6">
        <f t="shared" si="643"/>
        <v>11.339</v>
      </c>
      <c r="U276" s="6">
        <f t="shared" si="643"/>
        <v>13.016999999999999</v>
      </c>
      <c r="V276" s="6">
        <f t="shared" si="643"/>
        <v>12.19835</v>
      </c>
      <c r="W276" s="105">
        <f t="shared" si="643"/>
        <v>9.51</v>
      </c>
      <c r="X276" s="90">
        <f t="shared" si="643"/>
        <v>11.271000000000001</v>
      </c>
      <c r="Y276" s="117">
        <f t="shared" ref="Y276:Y277" si="644">+X276/W276-1</f>
        <v>0.18517350157728707</v>
      </c>
      <c r="Z276" s="113">
        <f t="shared" ref="Z276:Z277" si="645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646">+SUM(C276:C277)+SUM(B278:B287)</f>
        <v>15.610469999999999</v>
      </c>
      <c r="Q277" s="6">
        <f t="shared" si="646"/>
        <v>14.334999999999999</v>
      </c>
      <c r="R277" s="6">
        <f t="shared" si="646"/>
        <v>13.632999999999999</v>
      </c>
      <c r="S277" s="6">
        <f t="shared" si="646"/>
        <v>12.490000000000002</v>
      </c>
      <c r="T277" s="6">
        <f t="shared" si="646"/>
        <v>11.374000000000001</v>
      </c>
      <c r="U277" s="6">
        <f t="shared" si="646"/>
        <v>12.958600000000001</v>
      </c>
      <c r="V277" s="6">
        <f t="shared" si="646"/>
        <v>11.899749999999999</v>
      </c>
      <c r="W277" s="105">
        <f t="shared" si="646"/>
        <v>9.9559999999999995</v>
      </c>
      <c r="X277" s="90">
        <f t="shared" si="646"/>
        <v>11.170999999999999</v>
      </c>
      <c r="Y277" s="117">
        <f t="shared" si="644"/>
        <v>0.1220369626355966</v>
      </c>
      <c r="Z277" s="113">
        <f t="shared" si="645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647">+SUM(C276:C278)+SUM(B279:B287)</f>
        <v>15.291699999999999</v>
      </c>
      <c r="Q278" s="6">
        <f t="shared" si="647"/>
        <v>14.442</v>
      </c>
      <c r="R278" s="6">
        <f t="shared" si="647"/>
        <v>13.497</v>
      </c>
      <c r="S278" s="6">
        <f t="shared" si="647"/>
        <v>12.049000000000001</v>
      </c>
      <c r="T278" s="6">
        <f t="shared" si="647"/>
        <v>11.664999999999999</v>
      </c>
      <c r="U278" s="6">
        <f t="shared" si="647"/>
        <v>12.6709</v>
      </c>
      <c r="V278" s="6">
        <f t="shared" si="647"/>
        <v>11.885450000000002</v>
      </c>
      <c r="W278" s="105">
        <f t="shared" si="647"/>
        <v>9.8659999999999997</v>
      </c>
      <c r="X278" s="90">
        <f t="shared" ref="X278" si="648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/>
      <c r="L279" s="113"/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649">+SUM(C276:C279)+SUM(B280:B287)</f>
        <v>14.6281</v>
      </c>
      <c r="Q279" s="6">
        <f t="shared" si="649"/>
        <v>14.196</v>
      </c>
      <c r="R279" s="6">
        <f t="shared" si="649"/>
        <v>13.420999999999999</v>
      </c>
      <c r="S279" s="6">
        <f t="shared" si="649"/>
        <v>12.305000000000001</v>
      </c>
      <c r="T279" s="6">
        <f t="shared" si="649"/>
        <v>11.253</v>
      </c>
      <c r="U279" s="6">
        <f t="shared" si="649"/>
        <v>12.874700000000001</v>
      </c>
      <c r="V279" s="6">
        <f t="shared" si="649"/>
        <v>11.42065</v>
      </c>
      <c r="W279" s="105">
        <f t="shared" si="649"/>
        <v>10.27</v>
      </c>
      <c r="X279" s="90"/>
      <c r="Y279" s="117"/>
      <c r="Z279" s="113"/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/>
      <c r="L280" s="113"/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650">+SUM(C276:C280)+SUM(B281:B287)</f>
        <v>14.604760000000001</v>
      </c>
      <c r="Q280" s="6">
        <f t="shared" si="650"/>
        <v>13.962999999999999</v>
      </c>
      <c r="R280" s="6">
        <f t="shared" si="650"/>
        <v>13.517999999999999</v>
      </c>
      <c r="S280" s="6">
        <f t="shared" si="650"/>
        <v>12.163</v>
      </c>
      <c r="T280" s="6">
        <f t="shared" si="650"/>
        <v>11.236000000000001</v>
      </c>
      <c r="U280" s="6">
        <f t="shared" si="650"/>
        <v>13.12519</v>
      </c>
      <c r="V280" s="6">
        <f t="shared" si="650"/>
        <v>11.12616</v>
      </c>
      <c r="W280" s="105">
        <f t="shared" si="650"/>
        <v>10.422999999999998</v>
      </c>
      <c r="X280" s="90"/>
      <c r="Y280" s="117"/>
      <c r="Z280" s="113"/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/>
      <c r="L281" s="113"/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651">+SUM(C276:C281)+SUM(B282:B287)</f>
        <v>14.580159999999999</v>
      </c>
      <c r="Q281" s="6">
        <f t="shared" si="651"/>
        <v>14.058</v>
      </c>
      <c r="R281" s="6">
        <f t="shared" si="651"/>
        <v>13.184000000000001</v>
      </c>
      <c r="S281" s="6">
        <f t="shared" si="651"/>
        <v>11.990000000000002</v>
      </c>
      <c r="T281" s="6">
        <f t="shared" si="651"/>
        <v>11.798999999999999</v>
      </c>
      <c r="U281" s="6">
        <f t="shared" si="651"/>
        <v>12.91685</v>
      </c>
      <c r="V281" s="6">
        <f t="shared" si="651"/>
        <v>10.8765</v>
      </c>
      <c r="W281" s="105">
        <f t="shared" si="651"/>
        <v>10.279</v>
      </c>
      <c r="X281" s="90"/>
      <c r="Y281" s="117"/>
      <c r="Z281" s="113"/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/>
      <c r="L282" s="113"/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652">+SUM(C276:C282)+SUM(B283:B287)</f>
        <v>14.770320000000002</v>
      </c>
      <c r="Q282" s="6">
        <f t="shared" si="652"/>
        <v>14.015000000000001</v>
      </c>
      <c r="R282" s="6">
        <f t="shared" si="652"/>
        <v>13.378</v>
      </c>
      <c r="S282" s="6">
        <f t="shared" si="652"/>
        <v>11.440000000000001</v>
      </c>
      <c r="T282" s="6">
        <f t="shared" si="652"/>
        <v>12.042999999999999</v>
      </c>
      <c r="U282" s="6">
        <f t="shared" si="652"/>
        <v>12.641970000000001</v>
      </c>
      <c r="V282" s="6">
        <f t="shared" si="652"/>
        <v>10.90138</v>
      </c>
      <c r="W282" s="105">
        <f t="shared" si="652"/>
        <v>10.702999999999999</v>
      </c>
      <c r="X282" s="90"/>
      <c r="Y282" s="117"/>
      <c r="Z282" s="113"/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/>
      <c r="L283" s="113"/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653">+SUM(C276:C283)+SUM(B284:B287)</f>
        <v>14.601410000000001</v>
      </c>
      <c r="Q283" s="6">
        <f t="shared" si="653"/>
        <v>14.092000000000001</v>
      </c>
      <c r="R283" s="6">
        <f t="shared" si="653"/>
        <v>13.11</v>
      </c>
      <c r="S283" s="6">
        <f t="shared" si="653"/>
        <v>11.208</v>
      </c>
      <c r="T283" s="6">
        <f t="shared" si="653"/>
        <v>12.154</v>
      </c>
      <c r="U283" s="6">
        <f t="shared" si="653"/>
        <v>12.72845</v>
      </c>
      <c r="V283" s="6">
        <f t="shared" si="653"/>
        <v>10.600899999999999</v>
      </c>
      <c r="W283" s="105">
        <f t="shared" si="653"/>
        <v>10.704000000000001</v>
      </c>
      <c r="X283" s="105"/>
      <c r="Y283" s="117"/>
      <c r="Z283" s="113"/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/>
      <c r="L284" s="113"/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654">+SUM(C276:C284)+SUM(B285:B287)</f>
        <v>14.461920000000001</v>
      </c>
      <c r="Q284" s="6">
        <f t="shared" si="654"/>
        <v>13.741</v>
      </c>
      <c r="R284" s="6">
        <f t="shared" si="654"/>
        <v>13.2</v>
      </c>
      <c r="S284" s="6">
        <f t="shared" si="654"/>
        <v>11.481999999999999</v>
      </c>
      <c r="T284" s="6">
        <f t="shared" si="654"/>
        <v>12.334999999999999</v>
      </c>
      <c r="U284" s="6">
        <f t="shared" si="654"/>
        <v>12.687310000000002</v>
      </c>
      <c r="V284" s="6">
        <f t="shared" si="654"/>
        <v>10.121040000000001</v>
      </c>
      <c r="W284" s="105">
        <f t="shared" si="654"/>
        <v>10.775000000000002</v>
      </c>
      <c r="X284" s="105"/>
      <c r="Y284" s="117"/>
      <c r="Z284" s="113"/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/>
      <c r="L285" s="113"/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655">+SUM(C276:C285)+SUM(B286:B287)</f>
        <v>14.511000000000001</v>
      </c>
      <c r="Q285" s="6">
        <f t="shared" si="655"/>
        <v>13.654999999999999</v>
      </c>
      <c r="R285" s="6">
        <f t="shared" si="655"/>
        <v>13.046999999999997</v>
      </c>
      <c r="S285" s="6">
        <f t="shared" si="655"/>
        <v>11.401</v>
      </c>
      <c r="T285" s="6">
        <f t="shared" si="655"/>
        <v>12.328999999999999</v>
      </c>
      <c r="U285" s="6">
        <f t="shared" si="655"/>
        <v>12.917350000000003</v>
      </c>
      <c r="V285" s="6">
        <f t="shared" si="655"/>
        <v>9.8360000000000003</v>
      </c>
      <c r="W285" s="105">
        <f t="shared" si="655"/>
        <v>11.091000000000001</v>
      </c>
      <c r="X285" s="90"/>
      <c r="Y285" s="117"/>
      <c r="Z285" s="113"/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656">+SUM(C276:C286)+SUM(B287)</f>
        <v>14.577000000000002</v>
      </c>
      <c r="Q286" s="6">
        <f t="shared" si="656"/>
        <v>13.504999999999999</v>
      </c>
      <c r="R286" s="6">
        <f t="shared" si="656"/>
        <v>13.010999999999997</v>
      </c>
      <c r="S286" s="6">
        <f t="shared" si="656"/>
        <v>11.299999999999999</v>
      </c>
      <c r="T286" s="6">
        <f t="shared" si="656"/>
        <v>12.578999999999997</v>
      </c>
      <c r="U286" s="6">
        <f t="shared" si="656"/>
        <v>12.659350000000002</v>
      </c>
      <c r="V286" s="6">
        <f t="shared" si="656"/>
        <v>9.6989999999999998</v>
      </c>
      <c r="W286" s="105">
        <f t="shared" si="656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657">+SUM(C276:C287)</f>
        <v>14.392000000000001</v>
      </c>
      <c r="Q287" s="6">
        <f t="shared" si="657"/>
        <v>13.507999999999999</v>
      </c>
      <c r="R287" s="6">
        <f t="shared" si="657"/>
        <v>12.753999999999998</v>
      </c>
      <c r="S287" s="6">
        <f t="shared" si="657"/>
        <v>11.468999999999998</v>
      </c>
      <c r="T287" s="6">
        <f t="shared" si="657"/>
        <v>12.858999999999998</v>
      </c>
      <c r="U287" s="6">
        <f t="shared" si="657"/>
        <v>12.261350000000002</v>
      </c>
      <c r="V287" s="6">
        <f t="shared" si="657"/>
        <v>9.6389999999999993</v>
      </c>
      <c r="W287" s="105">
        <f t="shared" si="657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658">SUM(C276:C287)</f>
        <v>14.392000000000001</v>
      </c>
      <c r="D288" s="219">
        <f t="shared" si="658"/>
        <v>13.507999999999999</v>
      </c>
      <c r="E288" s="219">
        <f t="shared" si="658"/>
        <v>12.753999999999998</v>
      </c>
      <c r="F288" s="219">
        <f t="shared" si="658"/>
        <v>11.468999999999998</v>
      </c>
      <c r="G288" s="219">
        <f t="shared" si="658"/>
        <v>12.858999999999998</v>
      </c>
      <c r="H288" s="219">
        <f t="shared" ref="H288" si="659">SUM(H276:H287)</f>
        <v>12.261350000000002</v>
      </c>
      <c r="I288" s="219">
        <f t="shared" ref="I288:J288" si="660">SUM(I276:I287)</f>
        <v>9.6389999999999993</v>
      </c>
      <c r="J288" s="252">
        <f t="shared" si="660"/>
        <v>11.171000000000001</v>
      </c>
      <c r="K288" s="251"/>
      <c r="L288" s="173"/>
      <c r="M288" s="3"/>
      <c r="N288" s="92" t="s">
        <v>14</v>
      </c>
      <c r="O288" s="106">
        <f t="shared" ref="O288" si="661">+AVERAGE(O276:O287)</f>
        <v>16.120710314116668</v>
      </c>
      <c r="P288" s="83">
        <f>+AVERAGE(P276:P287)</f>
        <v>14.836959999999999</v>
      </c>
      <c r="Q288" s="83">
        <f t="shared" ref="Q288:W288" si="662">+AVERAGE(Q276:Q287)</f>
        <v>13.995083333333332</v>
      </c>
      <c r="R288" s="83">
        <f t="shared" si="662"/>
        <v>13.251833333333332</v>
      </c>
      <c r="S288" s="83">
        <f t="shared" si="662"/>
        <v>11.839666666666666</v>
      </c>
      <c r="T288" s="83">
        <f t="shared" si="662"/>
        <v>11.91375</v>
      </c>
      <c r="U288" s="83">
        <f t="shared" si="662"/>
        <v>12.788251666666666</v>
      </c>
      <c r="V288" s="83">
        <f t="shared" si="662"/>
        <v>10.850348333333335</v>
      </c>
      <c r="W288" s="107">
        <f t="shared" si="662"/>
        <v>10.477500000000003</v>
      </c>
      <c r="X288" s="93">
        <f t="shared" ref="X288" si="663">+AVERAGE(X276:X287)</f>
        <v>11.246666666666668</v>
      </c>
      <c r="Y288" s="119">
        <f>+X288/W288-1</f>
        <v>7.3411278135687486E-2</v>
      </c>
      <c r="Z288" s="173">
        <f>+POWER(X288/S288,0.2)-1</f>
        <v>-1.022411225080988E-2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664">+C288/C$324</f>
        <v>1.9473964802892409E-2</v>
      </c>
      <c r="D289" s="84">
        <f t="shared" ref="D289" si="665">+D288/D$324</f>
        <v>1.8318117958481827E-2</v>
      </c>
      <c r="E289" s="84">
        <f t="shared" ref="E289" si="666">+E288/E$324</f>
        <v>1.7648418159854202E-2</v>
      </c>
      <c r="F289" s="84">
        <f t="shared" ref="F289:G289" si="667">+F288/F$324</f>
        <v>1.607522797417647E-2</v>
      </c>
      <c r="G289" s="84">
        <f t="shared" si="667"/>
        <v>1.5704900774192128E-2</v>
      </c>
      <c r="H289" s="229">
        <f t="shared" ref="H289" si="668">+H288/H$324</f>
        <v>1.6328154442540148E-2</v>
      </c>
      <c r="I289" s="84">
        <f t="shared" ref="I289:J289" si="669">+I288/I$324</f>
        <v>1.5125243417718141E-2</v>
      </c>
      <c r="J289" s="109">
        <f t="shared" si="669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670">+P288/P$324</f>
        <v>1.9907656264238217E-2</v>
      </c>
      <c r="Q289" s="84">
        <f t="shared" ref="Q289" si="671">+Q288/Q$324</f>
        <v>1.8917430200572679E-2</v>
      </c>
      <c r="R289" s="84">
        <f t="shared" ref="R289" si="672">+R288/R$324</f>
        <v>1.7975855097122878E-2</v>
      </c>
      <c r="S289" s="84">
        <f t="shared" ref="S289:W289" si="673">+S288/S$324</f>
        <v>1.6700368868968352E-2</v>
      </c>
      <c r="T289" s="84">
        <f t="shared" si="673"/>
        <v>1.54698443807128E-2</v>
      </c>
      <c r="U289" s="84">
        <f t="shared" si="673"/>
        <v>1.6056632793993317E-2</v>
      </c>
      <c r="V289" s="84">
        <f t="shared" si="673"/>
        <v>1.5892716621331567E-2</v>
      </c>
      <c r="W289" s="109">
        <f t="shared" si="673"/>
        <v>1.6478729031659398E-2</v>
      </c>
      <c r="X289" s="96">
        <f t="shared" ref="X289" si="674">+X288/X$324</f>
        <v>1.7448956372437478E-2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675">+D288/C288-1</f>
        <v>-6.1423012784880604E-2</v>
      </c>
      <c r="E290" s="85">
        <f t="shared" ref="E290" si="676">+E288/D288-1</f>
        <v>-5.5818774059816501E-2</v>
      </c>
      <c r="F290" s="85">
        <f t="shared" ref="F290:J290" si="677">+F288/E288-1</f>
        <v>-0.10075270503371492</v>
      </c>
      <c r="G290" s="85">
        <f t="shared" si="677"/>
        <v>0.12119626820123819</v>
      </c>
      <c r="H290" s="85">
        <f t="shared" si="677"/>
        <v>-4.6477175519091363E-2</v>
      </c>
      <c r="I290" s="85">
        <f t="shared" si="677"/>
        <v>-0.21387122951387916</v>
      </c>
      <c r="J290" s="85">
        <f t="shared" si="677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678">+Q288/P288-1</f>
        <v>-5.6741857271750296E-2</v>
      </c>
      <c r="R290" s="85">
        <f t="shared" ref="R290" si="679">+R288/Q288-1</f>
        <v>-5.3107936715870441E-2</v>
      </c>
      <c r="S290" s="85">
        <f t="shared" ref="S290" si="680">+S288/R288-1</f>
        <v>-0.1065638716655557</v>
      </c>
      <c r="T290" s="85">
        <f t="shared" ref="T290" si="681">+T288/S288-1</f>
        <v>6.2572144486050529E-3</v>
      </c>
      <c r="U290" s="85">
        <f t="shared" ref="U290" si="682">+U288/T288-1</f>
        <v>7.3402720945686006E-2</v>
      </c>
      <c r="V290" s="85">
        <f t="shared" ref="V290" si="683">+V288/U288-1</f>
        <v>-0.1515377851363835</v>
      </c>
      <c r="W290" s="111">
        <f t="shared" ref="W290:X290" si="684">+W288/V288-1</f>
        <v>-3.4362798490801039E-2</v>
      </c>
      <c r="X290" s="100">
        <f t="shared" si="684"/>
        <v>7.3411278135687486E-2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35" t="s">
        <v>79</v>
      </c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7"/>
      <c r="M292" s="2"/>
      <c r="N292" s="335" t="s">
        <v>100</v>
      </c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7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685">+C293+1</f>
        <v>2018</v>
      </c>
      <c r="E293" s="82">
        <f t="shared" ref="E293" si="686">+D293+1</f>
        <v>2019</v>
      </c>
      <c r="F293" s="82">
        <f t="shared" ref="F293" si="687">+E293+1</f>
        <v>2020</v>
      </c>
      <c r="G293" s="82">
        <f t="shared" ref="G293" si="688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689">+P293+1</f>
        <v>2018</v>
      </c>
      <c r="R293" s="82">
        <f t="shared" ref="R293" si="690">+Q293+1</f>
        <v>2019</v>
      </c>
      <c r="S293" s="82">
        <f t="shared" ref="S293" si="691">+R293+1</f>
        <v>2020</v>
      </c>
      <c r="T293" s="82">
        <f t="shared" ref="T293" si="692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693">+SUM(C294)+SUM(B295:B305)</f>
        <v>115.82024000000001</v>
      </c>
      <c r="Q294" s="6">
        <f t="shared" si="693"/>
        <v>107.46799999999999</v>
      </c>
      <c r="R294" s="6">
        <f t="shared" si="693"/>
        <v>107.75699999999999</v>
      </c>
      <c r="S294" s="6">
        <f t="shared" si="693"/>
        <v>103.99900000000001</v>
      </c>
      <c r="T294" s="6">
        <f t="shared" si="693"/>
        <v>101.23399999999999</v>
      </c>
      <c r="U294" s="6">
        <f t="shared" si="693"/>
        <v>116.05100000000002</v>
      </c>
      <c r="V294" s="6">
        <f t="shared" si="693"/>
        <v>98.364145000000008</v>
      </c>
      <c r="W294" s="105">
        <f t="shared" si="693"/>
        <v>82.16273000000001</v>
      </c>
      <c r="X294" s="90">
        <f t="shared" si="693"/>
        <v>82.390999999999991</v>
      </c>
      <c r="Y294" s="117">
        <f t="shared" ref="Y294:Y295" si="694">+X294/W294-1</f>
        <v>2.7782669830953566E-3</v>
      </c>
      <c r="Z294" s="113">
        <f t="shared" ref="Z294:Z295" si="695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696">+SUM(C294:C295)+SUM(B296:B305)</f>
        <v>114.05617000000001</v>
      </c>
      <c r="Q295" s="6">
        <f t="shared" si="696"/>
        <v>108.43399999999998</v>
      </c>
      <c r="R295" s="6">
        <f t="shared" si="696"/>
        <v>106.85999999999999</v>
      </c>
      <c r="S295" s="6">
        <f t="shared" si="696"/>
        <v>104.75399999999999</v>
      </c>
      <c r="T295" s="6">
        <f t="shared" si="696"/>
        <v>101.288</v>
      </c>
      <c r="U295" s="6">
        <f t="shared" si="696"/>
        <v>114.54989999999999</v>
      </c>
      <c r="V295" s="6">
        <f t="shared" si="696"/>
        <v>97.841245000000015</v>
      </c>
      <c r="W295" s="105">
        <f t="shared" si="696"/>
        <v>81.449729999999988</v>
      </c>
      <c r="X295" s="90">
        <f t="shared" si="696"/>
        <v>82.323000000000008</v>
      </c>
      <c r="Y295" s="117">
        <f t="shared" si="694"/>
        <v>1.0721582502483562E-2</v>
      </c>
      <c r="Z295" s="113">
        <f t="shared" si="695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697">+SUM(C294:C296)+SUM(B297:B305)</f>
        <v>112.44934000000001</v>
      </c>
      <c r="Q296" s="6">
        <f t="shared" si="697"/>
        <v>108.12899999999999</v>
      </c>
      <c r="R296" s="6">
        <f t="shared" si="697"/>
        <v>107.18499999999997</v>
      </c>
      <c r="S296" s="6">
        <f t="shared" si="697"/>
        <v>103.459</v>
      </c>
      <c r="T296" s="6">
        <f t="shared" si="697"/>
        <v>104.01499999999999</v>
      </c>
      <c r="U296" s="6">
        <f t="shared" si="697"/>
        <v>112.4509</v>
      </c>
      <c r="V296" s="6">
        <f t="shared" si="697"/>
        <v>99.146244999999993</v>
      </c>
      <c r="W296" s="105">
        <f t="shared" si="697"/>
        <v>77.796729999999997</v>
      </c>
      <c r="X296" s="90">
        <f t="shared" ref="X296" si="698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/>
      <c r="L297" s="113"/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699">+SUM(C294:C297)+SUM(B298:B305)</f>
        <v>110.11897999999999</v>
      </c>
      <c r="Q297" s="6">
        <f t="shared" si="699"/>
        <v>107.07399999999998</v>
      </c>
      <c r="R297" s="6">
        <f t="shared" si="699"/>
        <v>108.66099999999999</v>
      </c>
      <c r="S297" s="6">
        <f t="shared" si="699"/>
        <v>102.87599999999999</v>
      </c>
      <c r="T297" s="6">
        <f t="shared" si="699"/>
        <v>105.37499999999999</v>
      </c>
      <c r="U297" s="6">
        <f t="shared" si="699"/>
        <v>110.29470500000001</v>
      </c>
      <c r="V297" s="6">
        <f t="shared" si="699"/>
        <v>97.665230000000008</v>
      </c>
      <c r="W297" s="105">
        <f t="shared" si="699"/>
        <v>78.560940000000002</v>
      </c>
      <c r="X297" s="90"/>
      <c r="Y297" s="117"/>
      <c r="Z297" s="113"/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/>
      <c r="L298" s="113"/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700">+SUM(C294:C298)+SUM(B299:B305)</f>
        <v>108.90593000000001</v>
      </c>
      <c r="Q298" s="6">
        <f t="shared" si="700"/>
        <v>107.273</v>
      </c>
      <c r="R298" s="6">
        <f t="shared" si="700"/>
        <v>109.97199999999998</v>
      </c>
      <c r="S298" s="6">
        <f t="shared" si="700"/>
        <v>101.233</v>
      </c>
      <c r="T298" s="6">
        <f t="shared" si="700"/>
        <v>108.654</v>
      </c>
      <c r="U298" s="6">
        <f t="shared" si="700"/>
        <v>108.89906500000001</v>
      </c>
      <c r="V298" s="6">
        <f t="shared" si="700"/>
        <v>94.892870000000002</v>
      </c>
      <c r="W298" s="105">
        <f t="shared" si="700"/>
        <v>79.336939999999998</v>
      </c>
      <c r="X298" s="90"/>
      <c r="Y298" s="117"/>
      <c r="Z298" s="113"/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/>
      <c r="L299" s="113"/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701">+SUM(C294:C299)+SUM(B300:B305)</f>
        <v>110.39907000000002</v>
      </c>
      <c r="Q299" s="6">
        <f t="shared" si="701"/>
        <v>105.78</v>
      </c>
      <c r="R299" s="6">
        <f t="shared" si="701"/>
        <v>108.55099999999999</v>
      </c>
      <c r="S299" s="6">
        <f t="shared" si="701"/>
        <v>101.78300000000002</v>
      </c>
      <c r="T299" s="6">
        <f t="shared" si="701"/>
        <v>112.093</v>
      </c>
      <c r="U299" s="6">
        <f t="shared" si="701"/>
        <v>109.982795</v>
      </c>
      <c r="V299" s="6">
        <f t="shared" si="701"/>
        <v>92.365080000000006</v>
      </c>
      <c r="W299" s="105">
        <f t="shared" si="701"/>
        <v>79.05</v>
      </c>
      <c r="X299" s="90"/>
      <c r="Y299" s="117"/>
      <c r="Z299" s="113"/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/>
      <c r="L300" s="113"/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702">+SUM(C294:C300)+SUM(B301:B305)</f>
        <v>109.57979</v>
      </c>
      <c r="Q300" s="6">
        <f t="shared" si="702"/>
        <v>107.303</v>
      </c>
      <c r="R300" s="6">
        <f t="shared" si="702"/>
        <v>109.625</v>
      </c>
      <c r="S300" s="6">
        <f t="shared" si="702"/>
        <v>101.511</v>
      </c>
      <c r="T300" s="6">
        <f t="shared" si="702"/>
        <v>111.80200000000001</v>
      </c>
      <c r="U300" s="6">
        <f t="shared" si="702"/>
        <v>106.46855500000001</v>
      </c>
      <c r="V300" s="6">
        <f t="shared" si="702"/>
        <v>91.321320000000014</v>
      </c>
      <c r="W300" s="105">
        <f t="shared" si="702"/>
        <v>82.944999999999993</v>
      </c>
      <c r="X300" s="90"/>
      <c r="Y300" s="117"/>
      <c r="Z300" s="113"/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/>
      <c r="L301" s="113"/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703">+SUM(C294:C301)+SUM(B302:B305)</f>
        <v>110.08411000000001</v>
      </c>
      <c r="Q301" s="6">
        <f t="shared" si="703"/>
        <v>107.27699999999999</v>
      </c>
      <c r="R301" s="6">
        <f t="shared" si="703"/>
        <v>108.50399999999999</v>
      </c>
      <c r="S301" s="6">
        <f t="shared" si="703"/>
        <v>98.876999999999995</v>
      </c>
      <c r="T301" s="6">
        <f t="shared" si="703"/>
        <v>112.85700000000001</v>
      </c>
      <c r="U301" s="6">
        <f t="shared" si="703"/>
        <v>106.904725</v>
      </c>
      <c r="V301" s="6">
        <f t="shared" si="703"/>
        <v>89.493150000000014</v>
      </c>
      <c r="W301" s="105">
        <f t="shared" si="703"/>
        <v>81.748999999999995</v>
      </c>
      <c r="X301" s="105"/>
      <c r="Y301" s="117"/>
      <c r="Z301" s="113"/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/>
      <c r="L302" s="113"/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704">+SUM(C294:C302)+SUM(B303:B305)</f>
        <v>108.54055000000001</v>
      </c>
      <c r="Q302" s="6">
        <f t="shared" si="704"/>
        <v>106.48</v>
      </c>
      <c r="R302" s="6">
        <f t="shared" si="704"/>
        <v>107.69899999999998</v>
      </c>
      <c r="S302" s="6">
        <f t="shared" si="704"/>
        <v>101.90899999999999</v>
      </c>
      <c r="T302" s="6">
        <f t="shared" si="704"/>
        <v>113.07600000000001</v>
      </c>
      <c r="U302" s="6">
        <f t="shared" si="704"/>
        <v>106.32188500000001</v>
      </c>
      <c r="V302" s="6">
        <f t="shared" si="704"/>
        <v>88.068989999999999</v>
      </c>
      <c r="W302" s="105">
        <f t="shared" si="704"/>
        <v>80.171999999999997</v>
      </c>
      <c r="X302" s="105"/>
      <c r="Y302" s="117"/>
      <c r="Z302" s="113"/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/>
      <c r="L303" s="113"/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705">+SUM(C294:C303)+SUM(B304:B305)</f>
        <v>108.371</v>
      </c>
      <c r="Q303" s="6">
        <f t="shared" si="705"/>
        <v>106.55600000000001</v>
      </c>
      <c r="R303" s="6">
        <f t="shared" si="705"/>
        <v>106.93099999999998</v>
      </c>
      <c r="S303" s="6">
        <f t="shared" si="705"/>
        <v>101.76499999999999</v>
      </c>
      <c r="T303" s="6">
        <f t="shared" si="705"/>
        <v>114.01700000000001</v>
      </c>
      <c r="U303" s="6">
        <f t="shared" si="705"/>
        <v>104.94614500000002</v>
      </c>
      <c r="V303" s="6">
        <f t="shared" si="705"/>
        <v>85.311730000000011</v>
      </c>
      <c r="W303" s="105">
        <f t="shared" si="705"/>
        <v>81.305000000000007</v>
      </c>
      <c r="X303" s="90"/>
      <c r="Y303" s="117"/>
      <c r="Z303" s="113"/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706">+SUM(C294:C304)+SUM(B305)</f>
        <v>108.86399999999999</v>
      </c>
      <c r="Q304" s="6">
        <f t="shared" si="706"/>
        <v>106.809</v>
      </c>
      <c r="R304" s="6">
        <f t="shared" si="706"/>
        <v>105.30699999999999</v>
      </c>
      <c r="S304" s="6">
        <f t="shared" si="706"/>
        <v>103.00899999999999</v>
      </c>
      <c r="T304" s="6">
        <f t="shared" si="706"/>
        <v>114.74400000000001</v>
      </c>
      <c r="U304" s="6">
        <f t="shared" si="706"/>
        <v>102.07314500000001</v>
      </c>
      <c r="V304" s="6">
        <f t="shared" si="706"/>
        <v>84.318730000000016</v>
      </c>
      <c r="W304" s="105">
        <f t="shared" si="706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707">+SUM(C294:C305)</f>
        <v>108.32399999999998</v>
      </c>
      <c r="Q305" s="6">
        <f t="shared" si="707"/>
        <v>106.815</v>
      </c>
      <c r="R305" s="6">
        <f t="shared" si="707"/>
        <v>104.33999999999999</v>
      </c>
      <c r="S305" s="6">
        <f t="shared" si="707"/>
        <v>103.41999999999999</v>
      </c>
      <c r="T305" s="6">
        <f t="shared" si="707"/>
        <v>115.73200000000001</v>
      </c>
      <c r="U305" s="6">
        <f t="shared" si="707"/>
        <v>99.361145000000022</v>
      </c>
      <c r="V305" s="6">
        <f t="shared" si="707"/>
        <v>83.427730000000011</v>
      </c>
      <c r="W305" s="105">
        <f t="shared" si="707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708">SUM(C294:C305)</f>
        <v>108.32399999999998</v>
      </c>
      <c r="D306" s="219">
        <f t="shared" si="708"/>
        <v>106.815</v>
      </c>
      <c r="E306" s="219">
        <f t="shared" si="708"/>
        <v>104.33999999999999</v>
      </c>
      <c r="F306" s="219">
        <f t="shared" si="708"/>
        <v>103.41999999999999</v>
      </c>
      <c r="G306" s="219">
        <f t="shared" si="708"/>
        <v>115.73200000000001</v>
      </c>
      <c r="H306" s="219">
        <f t="shared" ref="H306:I306" si="709">SUM(H294:H305)</f>
        <v>99.361145000000022</v>
      </c>
      <c r="I306" s="219">
        <f t="shared" si="709"/>
        <v>83.427730000000011</v>
      </c>
      <c r="J306" s="252">
        <f t="shared" ref="J306" si="710">SUM(J294:J305)</f>
        <v>82.86</v>
      </c>
      <c r="K306" s="251"/>
      <c r="L306" s="173"/>
      <c r="M306" s="3"/>
      <c r="N306" s="92" t="s">
        <v>14</v>
      </c>
      <c r="O306" s="106">
        <f t="shared" ref="O306" si="711">+AVERAGE(O294:O305)</f>
        <v>116.19054826472501</v>
      </c>
      <c r="P306" s="83">
        <f>+AVERAGE(P294:P305)</f>
        <v>110.4594316666667</v>
      </c>
      <c r="Q306" s="83">
        <f t="shared" ref="Q306:W306" si="712">+AVERAGE(Q294:Q305)</f>
        <v>107.11649999999999</v>
      </c>
      <c r="R306" s="83">
        <f t="shared" si="712"/>
        <v>107.61599999999999</v>
      </c>
      <c r="S306" s="83">
        <f t="shared" si="712"/>
        <v>102.38291666666665</v>
      </c>
      <c r="T306" s="83">
        <f t="shared" si="712"/>
        <v>109.57391666666666</v>
      </c>
      <c r="U306" s="83">
        <f t="shared" si="712"/>
        <v>108.19199708333336</v>
      </c>
      <c r="V306" s="83">
        <f t="shared" si="712"/>
        <v>91.851372083333345</v>
      </c>
      <c r="W306" s="107">
        <f t="shared" si="712"/>
        <v>80.798255833333343</v>
      </c>
      <c r="X306" s="93">
        <f t="shared" ref="X306" si="713">+AVERAGE(X294:X305)</f>
        <v>82.74766666666666</v>
      </c>
      <c r="Y306" s="119">
        <f>+X306/W306-1</f>
        <v>2.4126892508106401E-2</v>
      </c>
      <c r="Z306" s="173">
        <f>+POWER(X306/S306,0.2)-1</f>
        <v>-4.1690812661163035E-2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714">+C306/C$324</f>
        <v>0.14657433041332107</v>
      </c>
      <c r="D307" s="84">
        <f t="shared" ref="D307" si="715">+D306/D$324</f>
        <v>0.14485118224276253</v>
      </c>
      <c r="E307" s="84">
        <f t="shared" ref="E307" si="716">+E306/E$324</f>
        <v>0.14438105306564117</v>
      </c>
      <c r="F307" s="84">
        <f t="shared" ref="F307:G307" si="717">+F306/F$324</f>
        <v>0.14495597498381121</v>
      </c>
      <c r="G307" s="84">
        <f t="shared" si="717"/>
        <v>0.14134532828359933</v>
      </c>
      <c r="H307" s="229">
        <f t="shared" ref="H307:I307" si="718">+H306/H$324</f>
        <v>0.1323169244126973</v>
      </c>
      <c r="I307" s="84">
        <f t="shared" si="718"/>
        <v>0.13091241041992599</v>
      </c>
      <c r="J307" s="109">
        <f t="shared" ref="J307" si="719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720">+P306/P$324</f>
        <v>0.14821017221608138</v>
      </c>
      <c r="Q307" s="84">
        <f t="shared" ref="Q307" si="721">+Q306/Q$324</f>
        <v>0.1447914859680228</v>
      </c>
      <c r="R307" s="84">
        <f t="shared" ref="R307" si="722">+R306/R$324</f>
        <v>0.14597901840992886</v>
      </c>
      <c r="S307" s="84">
        <f t="shared" ref="S307:W307" si="723">+S306/S$324</f>
        <v>0.14441559229264739</v>
      </c>
      <c r="T307" s="84">
        <f t="shared" si="723"/>
        <v>0.14228025928179841</v>
      </c>
      <c r="U307" s="84">
        <f t="shared" si="723"/>
        <v>0.13584336731063812</v>
      </c>
      <c r="V307" s="84">
        <f t="shared" si="723"/>
        <v>0.13453649440141494</v>
      </c>
      <c r="W307" s="109">
        <f t="shared" si="723"/>
        <v>0.127077314636907</v>
      </c>
      <c r="X307" s="96">
        <f t="shared" ref="X307" si="724">+X306/X$324</f>
        <v>0.1283811878115885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725">+D306/C306-1</f>
        <v>-1.3930430929433801E-2</v>
      </c>
      <c r="E308" s="85">
        <f t="shared" ref="E308" si="726">+E306/D306-1</f>
        <v>-2.3170902963067119E-2</v>
      </c>
      <c r="F308" s="85">
        <f t="shared" ref="F308:J308" si="727">+F306/E306-1</f>
        <v>-8.8173279662641102E-3</v>
      </c>
      <c r="G308" s="85">
        <f t="shared" si="727"/>
        <v>0.11904853993424891</v>
      </c>
      <c r="H308" s="85">
        <f t="shared" si="727"/>
        <v>-0.14145486987177258</v>
      </c>
      <c r="I308" s="85">
        <f t="shared" si="727"/>
        <v>-0.16035860899147258</v>
      </c>
      <c r="J308" s="85">
        <f t="shared" si="727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728">+Q306/P306-1</f>
        <v>-3.0263886172750554E-2</v>
      </c>
      <c r="R308" s="85">
        <f t="shared" ref="R308" si="729">+R306/Q306-1</f>
        <v>4.6631471341949116E-3</v>
      </c>
      <c r="S308" s="85">
        <f t="shared" ref="S308" si="730">+S306/R306-1</f>
        <v>-4.8627372633561428E-2</v>
      </c>
      <c r="T308" s="85">
        <f t="shared" ref="T308" si="731">+T306/S306-1</f>
        <v>7.0236326861170761E-2</v>
      </c>
      <c r="U308" s="85">
        <f t="shared" ref="U308" si="732">+U306/T306-1</f>
        <v>-1.2611756751720549E-2</v>
      </c>
      <c r="V308" s="85">
        <f t="shared" ref="V308" si="733">+V306/U306-1</f>
        <v>-0.1510335832641474</v>
      </c>
      <c r="W308" s="111">
        <f t="shared" ref="W308:X308" si="734">+W306/V306-1</f>
        <v>-0.12033697482463213</v>
      </c>
      <c r="X308" s="100">
        <f t="shared" si="734"/>
        <v>2.4126892508106401E-2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53" t="s">
        <v>80</v>
      </c>
      <c r="B310" s="354"/>
      <c r="C310" s="354"/>
      <c r="D310" s="354"/>
      <c r="E310" s="354"/>
      <c r="F310" s="354"/>
      <c r="G310" s="354"/>
      <c r="H310" s="354"/>
      <c r="I310" s="354"/>
      <c r="J310" s="354"/>
      <c r="K310" s="354"/>
      <c r="L310" s="355"/>
      <c r="M310" s="2"/>
      <c r="N310" s="353" t="s">
        <v>81</v>
      </c>
      <c r="O310" s="354"/>
      <c r="P310" s="354"/>
      <c r="Q310" s="354"/>
      <c r="R310" s="354"/>
      <c r="S310" s="354"/>
      <c r="T310" s="354"/>
      <c r="U310" s="354"/>
      <c r="V310" s="354"/>
      <c r="W310" s="354"/>
      <c r="X310" s="354"/>
      <c r="Y310" s="354"/>
      <c r="Z310" s="355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735">+C311+1</f>
        <v>2018</v>
      </c>
      <c r="E311" s="82">
        <f t="shared" ref="E311" si="736">+D311+1</f>
        <v>2019</v>
      </c>
      <c r="F311" s="82">
        <f t="shared" ref="F311" si="737">+E311+1</f>
        <v>2020</v>
      </c>
      <c r="G311" s="82">
        <f t="shared" ref="G311" si="738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739">+P311+1</f>
        <v>2018</v>
      </c>
      <c r="R311" s="82">
        <f t="shared" ref="R311" si="740">+Q311+1</f>
        <v>2019</v>
      </c>
      <c r="S311" s="82">
        <f t="shared" ref="S311" si="741">+R311+1</f>
        <v>2020</v>
      </c>
      <c r="T311" s="82">
        <f t="shared" ref="T311" si="742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743">+SUM(C312)+SUM(B313:B323)</f>
        <v>760.70776999999998</v>
      </c>
      <c r="Q312" s="6">
        <f t="shared" si="743"/>
        <v>734.75900000000001</v>
      </c>
      <c r="R312" s="6">
        <f t="shared" si="743"/>
        <v>740.89</v>
      </c>
      <c r="S312" s="6">
        <f t="shared" si="743"/>
        <v>721.47700000000009</v>
      </c>
      <c r="T312" s="6">
        <f t="shared" si="743"/>
        <v>713.20500000000015</v>
      </c>
      <c r="U312" s="6">
        <f t="shared" si="743"/>
        <v>811.06900000000019</v>
      </c>
      <c r="V312" s="6">
        <f t="shared" si="743"/>
        <v>751.96600000000001</v>
      </c>
      <c r="W312" s="105">
        <f t="shared" si="743"/>
        <v>629.53300000000002</v>
      </c>
      <c r="X312" s="90">
        <f t="shared" si="743"/>
        <v>644.70799999999997</v>
      </c>
      <c r="Y312" s="117">
        <f t="shared" ref="Y312:Y313" si="744">+X312/W312-1</f>
        <v>2.4105170022858058E-2</v>
      </c>
      <c r="Z312" s="113">
        <f t="shared" ref="Z312:Z313" si="745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746">+SUM(C312:C313)+SUM(B314:B323)</f>
        <v>750.12762999999995</v>
      </c>
      <c r="Q313" s="6">
        <f t="shared" si="746"/>
        <v>742.83600000000001</v>
      </c>
      <c r="R313" s="6">
        <f t="shared" si="746"/>
        <v>742.66899999999998</v>
      </c>
      <c r="S313" s="6">
        <f t="shared" si="746"/>
        <v>718.57600000000002</v>
      </c>
      <c r="T313" s="6">
        <f t="shared" si="746"/>
        <v>720.55700000000002</v>
      </c>
      <c r="U313" s="6">
        <f t="shared" si="746"/>
        <v>813.92600000000016</v>
      </c>
      <c r="V313" s="6">
        <f t="shared" si="746"/>
        <v>733.81</v>
      </c>
      <c r="W313" s="105">
        <f t="shared" si="746"/>
        <v>632.3839999999999</v>
      </c>
      <c r="X313" s="90">
        <f t="shared" si="746"/>
        <v>644.39800000000002</v>
      </c>
      <c r="Y313" s="117">
        <f t="shared" si="744"/>
        <v>1.8997950612286374E-2</v>
      </c>
      <c r="Z313" s="113">
        <f t="shared" si="745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747">+SUM(C312:C314)+SUM(B315:B323)</f>
        <v>748.38303999999994</v>
      </c>
      <c r="Q314" s="6">
        <f t="shared" si="747"/>
        <v>741.47800000000007</v>
      </c>
      <c r="R314" s="6">
        <f t="shared" si="747"/>
        <v>738.83900000000006</v>
      </c>
      <c r="S314" s="6">
        <f t="shared" si="747"/>
        <v>714.548</v>
      </c>
      <c r="T314" s="6">
        <f t="shared" si="747"/>
        <v>736.88700000000017</v>
      </c>
      <c r="U314" s="6">
        <f t="shared" si="747"/>
        <v>811.7650000000001</v>
      </c>
      <c r="V314" s="6">
        <f t="shared" si="747"/>
        <v>726.98200000000008</v>
      </c>
      <c r="W314" s="105">
        <f t="shared" si="747"/>
        <v>620.54999999999995</v>
      </c>
      <c r="X314" s="90">
        <f t="shared" ref="X314" si="748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/>
      <c r="L315" s="91"/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749">+SUM(C312:C315)+SUM(B316:B323)</f>
        <v>738.77712999999994</v>
      </c>
      <c r="Q315" s="6">
        <f t="shared" si="749"/>
        <v>739.64199999999994</v>
      </c>
      <c r="R315" s="6">
        <f t="shared" si="749"/>
        <v>745.62100000000009</v>
      </c>
      <c r="S315" s="6">
        <f t="shared" si="749"/>
        <v>711.83999999999992</v>
      </c>
      <c r="T315" s="6">
        <f t="shared" si="749"/>
        <v>742.36300000000006</v>
      </c>
      <c r="U315" s="6">
        <f t="shared" si="749"/>
        <v>811.27199999999993</v>
      </c>
      <c r="V315" s="6">
        <f t="shared" si="749"/>
        <v>709.94200000000001</v>
      </c>
      <c r="W315" s="105">
        <f t="shared" si="749"/>
        <v>630.60799999999995</v>
      </c>
      <c r="X315" s="90"/>
      <c r="Y315" s="117"/>
      <c r="Z315" s="113"/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/>
      <c r="L316" s="91"/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750">+SUM(C312:C316)+SUM(B317:B323)</f>
        <v>736.2360000000001</v>
      </c>
      <c r="Q316" s="6">
        <f t="shared" si="750"/>
        <v>742.27199999999993</v>
      </c>
      <c r="R316" s="6">
        <f t="shared" si="750"/>
        <v>748.38800000000003</v>
      </c>
      <c r="S316" s="6">
        <f t="shared" si="750"/>
        <v>700.26199999999994</v>
      </c>
      <c r="T316" s="6">
        <f t="shared" si="750"/>
        <v>754.94499999999994</v>
      </c>
      <c r="U316" s="6">
        <f t="shared" si="750"/>
        <v>811.42799999999988</v>
      </c>
      <c r="V316" s="6">
        <f t="shared" si="750"/>
        <v>698.37900000000013</v>
      </c>
      <c r="W316" s="105">
        <f t="shared" si="750"/>
        <v>630.37799999999993</v>
      </c>
      <c r="X316" s="90"/>
      <c r="Y316" s="117"/>
      <c r="Z316" s="113"/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/>
      <c r="L317" s="91"/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751">+SUM(C312:C317)+SUM(B318:B323)</f>
        <v>744.16021999999998</v>
      </c>
      <c r="Q317" s="6">
        <f t="shared" si="751"/>
        <v>736.07799999999997</v>
      </c>
      <c r="R317" s="6">
        <f t="shared" si="751"/>
        <v>744.99600000000009</v>
      </c>
      <c r="S317" s="6">
        <f t="shared" si="751"/>
        <v>700.31700000000001</v>
      </c>
      <c r="T317" s="6">
        <f t="shared" si="751"/>
        <v>776.19499999999994</v>
      </c>
      <c r="U317" s="6">
        <f t="shared" si="751"/>
        <v>812.46699999999998</v>
      </c>
      <c r="V317" s="6">
        <f t="shared" si="751"/>
        <v>675.72800000000007</v>
      </c>
      <c r="W317" s="105">
        <f t="shared" si="751"/>
        <v>619.51400000000001</v>
      </c>
      <c r="X317" s="90"/>
      <c r="Y317" s="117"/>
      <c r="Z317" s="113"/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/>
      <c r="L318" s="91"/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752">+SUM(C312:C318)+SUM(B319:B323)</f>
        <v>750.78500000000008</v>
      </c>
      <c r="Q318" s="6">
        <f t="shared" si="752"/>
        <v>745.60300000000007</v>
      </c>
      <c r="R318" s="6">
        <f t="shared" si="752"/>
        <v>738.31600000000003</v>
      </c>
      <c r="S318" s="6">
        <f t="shared" si="752"/>
        <v>704.63599999999997</v>
      </c>
      <c r="T318" s="6">
        <f t="shared" si="752"/>
        <v>781.39200000000005</v>
      </c>
      <c r="U318" s="6">
        <f t="shared" si="752"/>
        <v>796.13300000000004</v>
      </c>
      <c r="V318" s="6">
        <f t="shared" si="752"/>
        <v>670.71</v>
      </c>
      <c r="W318" s="105">
        <f t="shared" si="752"/>
        <v>639.11599999999999</v>
      </c>
      <c r="X318" s="90"/>
      <c r="Y318" s="117"/>
      <c r="Z318" s="113"/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/>
      <c r="L319" s="91"/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753">+SUM(C312:C319)+SUM(B320:B323)</f>
        <v>748.4197200000001</v>
      </c>
      <c r="Q319" s="6">
        <f t="shared" si="753"/>
        <v>743.74</v>
      </c>
      <c r="R319" s="6">
        <f t="shared" si="753"/>
        <v>734.3</v>
      </c>
      <c r="S319" s="6">
        <f t="shared" si="753"/>
        <v>694.82600000000002</v>
      </c>
      <c r="T319" s="6">
        <f t="shared" si="753"/>
        <v>788.30899999999997</v>
      </c>
      <c r="U319" s="6">
        <f t="shared" si="753"/>
        <v>801.08699999999999</v>
      </c>
      <c r="V319" s="6">
        <f t="shared" si="753"/>
        <v>657.49799999999993</v>
      </c>
      <c r="W319" s="105">
        <f t="shared" si="753"/>
        <v>640.89400000000001</v>
      </c>
      <c r="X319" s="105"/>
      <c r="Y319" s="117"/>
      <c r="Z319" s="113"/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/>
      <c r="L320" s="91"/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754">+SUM(C312:C320)+SUM(B321:B323)</f>
        <v>740.46415999999999</v>
      </c>
      <c r="Q320" s="6">
        <f t="shared" si="754"/>
        <v>738.50699999999995</v>
      </c>
      <c r="R320" s="6">
        <f t="shared" si="754"/>
        <v>732.654</v>
      </c>
      <c r="S320" s="6">
        <f t="shared" si="754"/>
        <v>707.03100000000006</v>
      </c>
      <c r="T320" s="6">
        <f t="shared" si="754"/>
        <v>799.14699999999993</v>
      </c>
      <c r="U320" s="6">
        <f t="shared" si="754"/>
        <v>791.78800000000001</v>
      </c>
      <c r="V320" s="6">
        <f t="shared" si="754"/>
        <v>647.53099999999995</v>
      </c>
      <c r="W320" s="105">
        <f t="shared" si="754"/>
        <v>640.86299999999994</v>
      </c>
      <c r="X320" s="105"/>
      <c r="Y320" s="117"/>
      <c r="Z320" s="113"/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/>
      <c r="L321" s="91"/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755">+SUM(C312:C321)+SUM(B322:B323)</f>
        <v>742.71500000000003</v>
      </c>
      <c r="Q321" s="6">
        <f t="shared" si="755"/>
        <v>736.58399999999995</v>
      </c>
      <c r="R321" s="6">
        <f t="shared" si="755"/>
        <v>730.90500000000009</v>
      </c>
      <c r="S321" s="6">
        <f t="shared" si="755"/>
        <v>708.06000000000006</v>
      </c>
      <c r="T321" s="6">
        <f t="shared" si="755"/>
        <v>799.57899999999995</v>
      </c>
      <c r="U321" s="6">
        <f t="shared" si="755"/>
        <v>783.18900000000008</v>
      </c>
      <c r="V321" s="6">
        <f t="shared" si="755"/>
        <v>642.97900000000004</v>
      </c>
      <c r="W321" s="105">
        <f t="shared" si="755"/>
        <v>645.86799999999994</v>
      </c>
      <c r="X321" s="90"/>
      <c r="Y321" s="117"/>
      <c r="Z321" s="113"/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756">+SUM(C312:C322)+SUM(B323)</f>
        <v>743.65599999999995</v>
      </c>
      <c r="Q322" s="6">
        <f t="shared" si="756"/>
        <v>738.66899999999998</v>
      </c>
      <c r="R322" s="6">
        <f t="shared" si="756"/>
        <v>726.17300000000012</v>
      </c>
      <c r="S322" s="6">
        <f t="shared" si="756"/>
        <v>712.32600000000014</v>
      </c>
      <c r="T322" s="6">
        <f t="shared" si="756"/>
        <v>810.16</v>
      </c>
      <c r="U322" s="6">
        <f t="shared" si="756"/>
        <v>762.303</v>
      </c>
      <c r="V322" s="6">
        <f t="shared" si="756"/>
        <v>639.89099999999996</v>
      </c>
      <c r="W322" s="105">
        <f t="shared" si="756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757">+SUM(C312:C323)</f>
        <v>739.03800000000001</v>
      </c>
      <c r="Q323" s="6">
        <f t="shared" si="757"/>
        <v>737.41199999999992</v>
      </c>
      <c r="R323" s="6">
        <f t="shared" si="757"/>
        <v>722.67100000000016</v>
      </c>
      <c r="S323" s="6">
        <f t="shared" si="757"/>
        <v>713.45800000000008</v>
      </c>
      <c r="T323" s="6">
        <f t="shared" si="757"/>
        <v>818.78899999999999</v>
      </c>
      <c r="U323" s="6">
        <f t="shared" si="757"/>
        <v>750.93299999999999</v>
      </c>
      <c r="V323" s="6">
        <f t="shared" si="757"/>
        <v>637.279</v>
      </c>
      <c r="W323" s="105">
        <f t="shared" si="757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758">SUM(C312:C323)</f>
        <v>739.03800000000001</v>
      </c>
      <c r="D324" s="219">
        <f t="shared" si="758"/>
        <v>737.41199999999992</v>
      </c>
      <c r="E324" s="219">
        <f t="shared" si="758"/>
        <v>722.67100000000016</v>
      </c>
      <c r="F324" s="219">
        <f t="shared" si="758"/>
        <v>713.45800000000008</v>
      </c>
      <c r="G324" s="219">
        <f t="shared" ref="G324:H324" si="759">SUM(G312:G323)</f>
        <v>818.78899999999999</v>
      </c>
      <c r="H324" s="219">
        <f t="shared" si="759"/>
        <v>750.93299999999999</v>
      </c>
      <c r="I324" s="219">
        <f t="shared" ref="I324" si="760">SUM(I312:I323)</f>
        <v>637.279</v>
      </c>
      <c r="J324" s="219">
        <f t="shared" ref="J324" si="761">SUM(J312:J323)</f>
        <v>649.93499999999995</v>
      </c>
      <c r="K324" s="218"/>
      <c r="L324" s="94"/>
      <c r="M324" s="3"/>
      <c r="N324" s="92" t="s">
        <v>14</v>
      </c>
      <c r="O324" s="106">
        <f t="shared" ref="O324" si="762">+AVERAGE(O312:O323)</f>
        <v>736.69074825115842</v>
      </c>
      <c r="P324" s="83">
        <f>+AVERAGE(P312:P323)</f>
        <v>745.28913916666659</v>
      </c>
      <c r="Q324" s="83">
        <f t="shared" ref="Q324:W324" si="763">+AVERAGE(Q312:Q323)</f>
        <v>739.79833333333329</v>
      </c>
      <c r="R324" s="83">
        <f t="shared" si="763"/>
        <v>737.20183333333341</v>
      </c>
      <c r="S324" s="83">
        <f t="shared" si="763"/>
        <v>708.94641666666666</v>
      </c>
      <c r="T324" s="83">
        <f t="shared" si="763"/>
        <v>770.12733333333335</v>
      </c>
      <c r="U324" s="83">
        <f t="shared" si="763"/>
        <v>796.44666666666672</v>
      </c>
      <c r="V324" s="83">
        <f t="shared" si="763"/>
        <v>682.72458333333327</v>
      </c>
      <c r="W324" s="107">
        <f t="shared" si="763"/>
        <v>635.81966666666676</v>
      </c>
      <c r="X324" s="93">
        <f t="shared" ref="X324" si="764">+AVERAGE(X312:X323)</f>
        <v>644.54666666666662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765">+D324/C324-1</f>
        <v>-2.2001575020500486E-3</v>
      </c>
      <c r="E325" s="85">
        <f t="shared" ref="E325" si="766">+E324/D324-1</f>
        <v>-1.9990181879328994E-2</v>
      </c>
      <c r="F325" s="85">
        <f t="shared" ref="F325:J325" si="767">+F324/E324-1</f>
        <v>-1.2748539791966329E-2</v>
      </c>
      <c r="G325" s="85">
        <f t="shared" si="767"/>
        <v>0.14763447883407288</v>
      </c>
      <c r="H325" s="85">
        <f t="shared" si="767"/>
        <v>-8.2873609684546268E-2</v>
      </c>
      <c r="I325" s="85">
        <f t="shared" si="767"/>
        <v>-0.1513503867855055</v>
      </c>
      <c r="J325" s="85">
        <f t="shared" si="767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768">+Q324/P324-1</f>
        <v>-7.3673498576307672E-3</v>
      </c>
      <c r="R325" s="85">
        <f t="shared" ref="R325" si="769">+R324/Q324-1</f>
        <v>-3.5097402670546396E-3</v>
      </c>
      <c r="S325" s="85">
        <f t="shared" ref="S325" si="770">+S324/R324-1</f>
        <v>-3.8327925120461237E-2</v>
      </c>
      <c r="T325" s="85">
        <f t="shared" ref="T325:X325" si="771">+T324/S324-1</f>
        <v>8.6298365050391013E-2</v>
      </c>
      <c r="U325" s="85">
        <f t="shared" si="771"/>
        <v>3.4175300880979975E-2</v>
      </c>
      <c r="V325" s="85">
        <f t="shared" si="771"/>
        <v>-0.14278681560598339</v>
      </c>
      <c r="W325" s="111">
        <f t="shared" si="771"/>
        <v>-6.8702545377314572E-2</v>
      </c>
      <c r="X325" s="100">
        <f t="shared" si="771"/>
        <v>1.3725589907830127E-2</v>
      </c>
      <c r="Y325" s="99"/>
      <c r="Z325" s="115"/>
    </row>
    <row r="326" spans="1:26" ht="15.75" thickBot="1" x14ac:dyDescent="0.3"/>
    <row r="327" spans="1:26" ht="15.75" thickBot="1" x14ac:dyDescent="0.3">
      <c r="A327" s="347" t="s">
        <v>82</v>
      </c>
      <c r="B327" s="348"/>
      <c r="C327" s="348"/>
      <c r="D327" s="348"/>
      <c r="E327" s="348"/>
      <c r="F327" s="348"/>
      <c r="G327" s="348"/>
      <c r="H327" s="348"/>
      <c r="I327" s="348"/>
      <c r="J327" s="348"/>
      <c r="K327" s="348"/>
      <c r="L327" s="349"/>
      <c r="M327" s="2"/>
      <c r="N327" s="347" t="s">
        <v>83</v>
      </c>
      <c r="O327" s="348"/>
      <c r="P327" s="348"/>
      <c r="Q327" s="348"/>
      <c r="R327" s="348"/>
      <c r="S327" s="348"/>
      <c r="T327" s="348"/>
      <c r="U327" s="348"/>
      <c r="V327" s="348"/>
      <c r="W327" s="348"/>
      <c r="X327" s="348"/>
      <c r="Y327" s="348"/>
      <c r="Z327" s="349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772">+C328+1</f>
        <v>2018</v>
      </c>
      <c r="E328" s="129">
        <f t="shared" ref="E328" si="773">+D328+1</f>
        <v>2019</v>
      </c>
      <c r="F328" s="129">
        <f t="shared" ref="F328" si="774">+E328+1</f>
        <v>2020</v>
      </c>
      <c r="G328" s="129">
        <f t="shared" ref="G328" si="775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776">+P328+1</f>
        <v>2018</v>
      </c>
      <c r="R328" s="129">
        <f t="shared" ref="R328" si="777">+Q328+1</f>
        <v>2019</v>
      </c>
      <c r="S328" s="129">
        <f t="shared" ref="S328" si="778">+R328+1</f>
        <v>2020</v>
      </c>
      <c r="T328" s="129">
        <f t="shared" ref="T328" si="779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780">+C168/C7</f>
        <v>3.395474353717495</v>
      </c>
      <c r="D329" s="158">
        <f t="shared" si="780"/>
        <v>4.2788708517414982</v>
      </c>
      <c r="E329" s="158">
        <f t="shared" si="780"/>
        <v>3.8477282468924123</v>
      </c>
      <c r="F329" s="158">
        <f t="shared" si="780"/>
        <v>3.2031164270821897</v>
      </c>
      <c r="G329" s="158">
        <f t="shared" si="780"/>
        <v>3.1294278388772687</v>
      </c>
      <c r="H329" s="158">
        <f t="shared" si="780"/>
        <v>3.2596144542043417</v>
      </c>
      <c r="I329" s="158">
        <f t="shared" ref="I329:J329" si="781">+I168/I7</f>
        <v>3.4304275874407373</v>
      </c>
      <c r="J329" s="180">
        <f t="shared" si="781"/>
        <v>3.0899608865710557</v>
      </c>
      <c r="K329" s="181">
        <f t="shared" ref="K329" si="782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783">+P168/P7</f>
        <v>3.7063015092851055</v>
      </c>
      <c r="Q329" s="158">
        <f t="shared" si="783"/>
        <v>4.0952189119092939</v>
      </c>
      <c r="R329" s="158">
        <f t="shared" si="783"/>
        <v>4.0794067196369284</v>
      </c>
      <c r="S329" s="158">
        <f t="shared" si="783"/>
        <v>3.7190160130323195</v>
      </c>
      <c r="T329" s="158">
        <f t="shared" si="783"/>
        <v>3.0660680731095704</v>
      </c>
      <c r="U329" s="158">
        <f t="shared" si="783"/>
        <v>3.2885702972664039</v>
      </c>
      <c r="V329" s="158">
        <f t="shared" ref="V329:W329" si="784">+V168/V7</f>
        <v>3.3178620707573825</v>
      </c>
      <c r="W329" s="180">
        <f t="shared" si="784"/>
        <v>3.37903832763832</v>
      </c>
      <c r="X329" s="181">
        <f t="shared" ref="X329" si="785">+X168/X7</f>
        <v>3.3959234445687319</v>
      </c>
      <c r="Y329" s="147">
        <f t="shared" ref="Y329:Y330" si="786">+X329/W329-1</f>
        <v>4.997018468924308E-3</v>
      </c>
      <c r="Z329" s="127">
        <f t="shared" ref="Z329:Z330" si="787">+POWER(X329/S329,0.2)-1</f>
        <v>-1.8012479601047571E-2</v>
      </c>
    </row>
    <row r="330" spans="1:26" x14ac:dyDescent="0.25">
      <c r="A330" s="133" t="s">
        <v>11</v>
      </c>
      <c r="B330" s="158">
        <f t="shared" ref="B330:G330" si="788">+B169/B8</f>
        <v>3.3681752749943428</v>
      </c>
      <c r="C330" s="158">
        <f t="shared" si="788"/>
        <v>4.0054133074729696</v>
      </c>
      <c r="D330" s="158">
        <f t="shared" si="788"/>
        <v>4.0945125580288062</v>
      </c>
      <c r="E330" s="158">
        <f t="shared" si="788"/>
        <v>3.8340604941897052</v>
      </c>
      <c r="F330" s="158">
        <f t="shared" si="788"/>
        <v>3.308054366721223</v>
      </c>
      <c r="G330" s="158">
        <f t="shared" si="788"/>
        <v>3.2166597169417939</v>
      </c>
      <c r="H330" s="158">
        <f t="shared" si="780"/>
        <v>3.3384828995036622</v>
      </c>
      <c r="I330" s="158">
        <f t="shared" ref="I330:J340" si="789">+I169/I8</f>
        <v>3.1369230769230771</v>
      </c>
      <c r="J330" s="180">
        <f t="shared" si="789"/>
        <v>3.3904405724415239</v>
      </c>
      <c r="K330" s="181">
        <f t="shared" ref="K330:K331" si="790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791">+O169/O8</f>
        <v>3.6580239847547351</v>
      </c>
      <c r="P330" s="158">
        <f t="shared" si="791"/>
        <v>3.7500240584644566</v>
      </c>
      <c r="Q330" s="158">
        <f t="shared" si="791"/>
        <v>4.1004415949089106</v>
      </c>
      <c r="R330" s="158">
        <f t="shared" si="791"/>
        <v>4.0589051914044649</v>
      </c>
      <c r="S330" s="158">
        <f t="shared" si="791"/>
        <v>3.6789548185539824</v>
      </c>
      <c r="T330" s="158">
        <f t="shared" si="791"/>
        <v>3.0625530304019213</v>
      </c>
      <c r="U330" s="158">
        <f t="shared" si="791"/>
        <v>3.2979225687542066</v>
      </c>
      <c r="V330" s="158">
        <f t="shared" ref="V330:X340" si="792">+V169/V8</f>
        <v>3.3046523107402002</v>
      </c>
      <c r="W330" s="180">
        <f t="shared" si="792"/>
        <v>3.397599834704232</v>
      </c>
      <c r="X330" s="181">
        <f t="shared" ref="X330" si="793">+X169/X8</f>
        <v>3.3955991231074445</v>
      </c>
      <c r="Y330" s="147">
        <f t="shared" si="786"/>
        <v>-5.8886028200011431E-4</v>
      </c>
      <c r="Z330" s="127">
        <f t="shared" si="787"/>
        <v>-1.5901903664682582E-2</v>
      </c>
    </row>
    <row r="331" spans="1:26" x14ac:dyDescent="0.25">
      <c r="A331" s="133" t="s">
        <v>0</v>
      </c>
      <c r="B331" s="158">
        <f t="shared" ref="B331:G331" si="794">+B170/B9</f>
        <v>3.554083016374324</v>
      </c>
      <c r="C331" s="158">
        <f t="shared" si="794"/>
        <v>4.1283646844351205</v>
      </c>
      <c r="D331" s="158">
        <f t="shared" si="794"/>
        <v>4.1994742633573789</v>
      </c>
      <c r="E331" s="158">
        <f t="shared" si="794"/>
        <v>3.7124222056260887</v>
      </c>
      <c r="F331" s="158">
        <f t="shared" si="794"/>
        <v>3.5403366811694386</v>
      </c>
      <c r="G331" s="158">
        <f t="shared" si="794"/>
        <v>3.1666181203333355</v>
      </c>
      <c r="H331" s="158">
        <f t="shared" si="780"/>
        <v>3.1681044933063824</v>
      </c>
      <c r="I331" s="158">
        <f t="shared" si="789"/>
        <v>3.3163108808290156</v>
      </c>
      <c r="J331" s="180">
        <f t="shared" si="789"/>
        <v>3.4071385241570948</v>
      </c>
      <c r="K331" s="181">
        <f t="shared" si="790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795">+O170/O9</f>
        <v>3.6505348775667037</v>
      </c>
      <c r="P331" s="158">
        <f t="shared" si="795"/>
        <v>3.7975459595144447</v>
      </c>
      <c r="Q331" s="158">
        <f t="shared" si="795"/>
        <v>4.1063723277945066</v>
      </c>
      <c r="R331" s="158">
        <f t="shared" si="795"/>
        <v>4.01858736984817</v>
      </c>
      <c r="S331" s="158">
        <f t="shared" si="795"/>
        <v>3.6656847765920322</v>
      </c>
      <c r="T331" s="158">
        <f t="shared" si="795"/>
        <v>3.0420056308974059</v>
      </c>
      <c r="U331" s="158">
        <f t="shared" si="795"/>
        <v>3.2977623329245747</v>
      </c>
      <c r="V331" s="158">
        <f t="shared" si="792"/>
        <v>3.3195418342428926</v>
      </c>
      <c r="W331" s="180">
        <f t="shared" si="792"/>
        <v>3.4063971953922438</v>
      </c>
      <c r="X331" s="181">
        <f t="shared" si="792"/>
        <v>3.3898551253744094</v>
      </c>
      <c r="Y331" s="147">
        <f t="shared" ref="Y331" si="796">+X331/W331-1</f>
        <v>-4.8561776765817521E-3</v>
      </c>
      <c r="Z331" s="127">
        <f t="shared" ref="Z331" si="797">+POWER(X331/S331,0.2)-1</f>
        <v>-1.5523838581485316E-2</v>
      </c>
    </row>
    <row r="332" spans="1:26" x14ac:dyDescent="0.25">
      <c r="A332" s="133" t="s">
        <v>1</v>
      </c>
      <c r="B332" s="158">
        <f t="shared" ref="B332:H332" si="798">+B171/B10</f>
        <v>3.9495120204242262</v>
      </c>
      <c r="C332" s="158">
        <f t="shared" si="798"/>
        <v>3.9893769891534587</v>
      </c>
      <c r="D332" s="158">
        <f t="shared" si="798"/>
        <v>4.0892740353172012</v>
      </c>
      <c r="E332" s="158">
        <f t="shared" si="798"/>
        <v>3.9381509555223708</v>
      </c>
      <c r="F332" s="158">
        <f t="shared" si="798"/>
        <v>3.302994511220732</v>
      </c>
      <c r="G332" s="158">
        <f t="shared" si="798"/>
        <v>3.279501770067808</v>
      </c>
      <c r="H332" s="158">
        <f t="shared" si="798"/>
        <v>3.3369089248023185</v>
      </c>
      <c r="I332" s="158">
        <f t="shared" si="789"/>
        <v>3.2571405776288489</v>
      </c>
      <c r="J332" s="180">
        <f t="shared" si="789"/>
        <v>3.2840290682240516</v>
      </c>
      <c r="K332" s="181"/>
      <c r="L332" s="127"/>
      <c r="M332" s="2"/>
      <c r="N332" s="133" t="s">
        <v>1</v>
      </c>
      <c r="O332" s="158">
        <f t="shared" ref="O332:U332" si="799">+O171/O10</f>
        <v>3.6814661723427298</v>
      </c>
      <c r="P332" s="158">
        <f t="shared" si="799"/>
        <v>3.7992975170859209</v>
      </c>
      <c r="Q332" s="158">
        <f t="shared" si="799"/>
        <v>4.1143958255988604</v>
      </c>
      <c r="R332" s="158">
        <f t="shared" si="799"/>
        <v>4.0062888903651546</v>
      </c>
      <c r="S332" s="158">
        <f t="shared" si="799"/>
        <v>3.6109722438596772</v>
      </c>
      <c r="T332" s="158">
        <f t="shared" si="799"/>
        <v>3.0425565109297663</v>
      </c>
      <c r="U332" s="158">
        <f t="shared" si="799"/>
        <v>3.3023277081690585</v>
      </c>
      <c r="V332" s="158">
        <f t="shared" si="792"/>
        <v>3.313461113011813</v>
      </c>
      <c r="W332" s="180">
        <f t="shared" si="792"/>
        <v>3.4065702056059166</v>
      </c>
      <c r="X332" s="181"/>
      <c r="Y332" s="147"/>
      <c r="Z332" s="127"/>
    </row>
    <row r="333" spans="1:26" x14ac:dyDescent="0.25">
      <c r="A333" s="133" t="s">
        <v>2</v>
      </c>
      <c r="B333" s="158">
        <f t="shared" ref="B333:H333" si="800">+B172/B11</f>
        <v>3.7905568173364723</v>
      </c>
      <c r="C333" s="158">
        <f t="shared" si="800"/>
        <v>4.1775635909714124</v>
      </c>
      <c r="D333" s="158">
        <f t="shared" si="800"/>
        <v>4.3131753037344485</v>
      </c>
      <c r="E333" s="158">
        <f t="shared" si="800"/>
        <v>4.0619352718909152</v>
      </c>
      <c r="F333" s="158">
        <f t="shared" si="800"/>
        <v>3.0640844359155643</v>
      </c>
      <c r="G333" s="158">
        <f t="shared" si="800"/>
        <v>3.2445838657344264</v>
      </c>
      <c r="H333" s="158">
        <f t="shared" si="800"/>
        <v>3.6152843089693305</v>
      </c>
      <c r="I333" s="158">
        <f t="shared" si="789"/>
        <v>3.3816871884303055</v>
      </c>
      <c r="J333" s="180">
        <f t="shared" ref="J333" si="801">+J172/J11</f>
        <v>3.4704667955795947</v>
      </c>
      <c r="K333" s="181"/>
      <c r="L333" s="127"/>
      <c r="M333" s="2"/>
      <c r="N333" s="133" t="s">
        <v>2</v>
      </c>
      <c r="O333" s="158">
        <f t="shared" ref="O333:U333" si="802">+O172/O11</f>
        <v>3.7071758876820153</v>
      </c>
      <c r="P333" s="158">
        <f t="shared" si="802"/>
        <v>3.8299277902598878</v>
      </c>
      <c r="Q333" s="158">
        <f t="shared" si="802"/>
        <v>4.1264613529539957</v>
      </c>
      <c r="R333" s="158">
        <f t="shared" si="802"/>
        <v>3.9855735512387658</v>
      </c>
      <c r="S333" s="158">
        <f t="shared" si="802"/>
        <v>3.5229447603480555</v>
      </c>
      <c r="T333" s="158">
        <f t="shared" si="802"/>
        <v>3.0584473740107749</v>
      </c>
      <c r="U333" s="158">
        <f t="shared" si="802"/>
        <v>3.3317450081273514</v>
      </c>
      <c r="V333" s="158">
        <f t="shared" si="792"/>
        <v>3.2919319004829921</v>
      </c>
      <c r="W333" s="180">
        <f t="shared" ref="W333" si="803">+W172/W11</f>
        <v>3.414369812660639</v>
      </c>
      <c r="X333" s="181"/>
      <c r="Y333" s="147"/>
      <c r="Z333" s="127"/>
    </row>
    <row r="334" spans="1:26" x14ac:dyDescent="0.25">
      <c r="A334" s="133" t="s">
        <v>3</v>
      </c>
      <c r="B334" s="158">
        <f t="shared" ref="B334:H340" si="804">+B173/B12</f>
        <v>3.8625505650946765</v>
      </c>
      <c r="C334" s="158">
        <f t="shared" si="804"/>
        <v>3.8684108150165337</v>
      </c>
      <c r="D334" s="158">
        <f t="shared" si="804"/>
        <v>4.1876417485658379</v>
      </c>
      <c r="E334" s="158">
        <f t="shared" si="804"/>
        <v>3.925089242900528</v>
      </c>
      <c r="F334" s="158">
        <f t="shared" si="804"/>
        <v>3.0281579361333959</v>
      </c>
      <c r="G334" s="158">
        <f t="shared" si="804"/>
        <v>3.3576611923197111</v>
      </c>
      <c r="H334" s="158">
        <f t="shared" si="804"/>
        <v>3.2679405203481249</v>
      </c>
      <c r="I334" s="158">
        <f t="shared" si="789"/>
        <v>3.6405231579401733</v>
      </c>
      <c r="J334" s="180">
        <f t="shared" ref="J334:J340" si="805">+J173/J12</f>
        <v>3.512615262770832</v>
      </c>
      <c r="K334" s="181"/>
      <c r="L334" s="127"/>
      <c r="M334" s="2"/>
      <c r="N334" s="133" t="s">
        <v>3</v>
      </c>
      <c r="O334" s="158">
        <f t="shared" ref="O334:U334" si="806">+O173/O12</f>
        <v>3.714441470532706</v>
      </c>
      <c r="P334" s="158">
        <f t="shared" si="806"/>
        <v>3.8307107485010015</v>
      </c>
      <c r="Q334" s="158">
        <f t="shared" si="806"/>
        <v>4.1539262141116176</v>
      </c>
      <c r="R334" s="158">
        <f t="shared" si="806"/>
        <v>3.9661837044768911</v>
      </c>
      <c r="S334" s="158">
        <f t="shared" si="806"/>
        <v>3.4514646659010264</v>
      </c>
      <c r="T334" s="158">
        <f t="shared" si="806"/>
        <v>3.0868396641533673</v>
      </c>
      <c r="U334" s="158">
        <f t="shared" si="806"/>
        <v>3.3235296184974015</v>
      </c>
      <c r="V334" s="158">
        <f t="shared" si="792"/>
        <v>3.3189477297235639</v>
      </c>
      <c r="W334" s="180">
        <f t="shared" ref="W334:W340" si="807">+W173/W12</f>
        <v>3.4028597600299042</v>
      </c>
      <c r="X334" s="181"/>
      <c r="Y334" s="147"/>
      <c r="Z334" s="127"/>
    </row>
    <row r="335" spans="1:26" x14ac:dyDescent="0.25">
      <c r="A335" s="133" t="s">
        <v>4</v>
      </c>
      <c r="B335" s="158">
        <f t="shared" ref="B335:F335" si="808">+B174/B13</f>
        <v>3.866781177880549</v>
      </c>
      <c r="C335" s="158">
        <f t="shared" si="808"/>
        <v>4.1061840692312552</v>
      </c>
      <c r="D335" s="158">
        <f t="shared" si="808"/>
        <v>4.0719344185586124</v>
      </c>
      <c r="E335" s="158">
        <f t="shared" si="808"/>
        <v>3.8305913079609422</v>
      </c>
      <c r="F335" s="158">
        <f t="shared" si="808"/>
        <v>2.9325160787894249</v>
      </c>
      <c r="G335" s="158">
        <f t="shared" si="804"/>
        <v>3.5457108813581897</v>
      </c>
      <c r="H335" s="158">
        <f t="shared" ref="H335" si="809">+H174/H13</f>
        <v>3.4777905377731111</v>
      </c>
      <c r="I335" s="158">
        <f t="shared" si="789"/>
        <v>3.4480865084058463</v>
      </c>
      <c r="J335" s="180">
        <f t="shared" si="805"/>
        <v>3.3298641267289213</v>
      </c>
      <c r="K335" s="181"/>
      <c r="L335" s="127"/>
      <c r="M335" s="2"/>
      <c r="N335" s="133" t="s">
        <v>4</v>
      </c>
      <c r="O335" s="158">
        <f t="shared" ref="O335:U335" si="810">+O174/O13</f>
        <v>3.7073515697425026</v>
      </c>
      <c r="P335" s="158">
        <f t="shared" si="810"/>
        <v>3.8489914285354221</v>
      </c>
      <c r="Q335" s="158">
        <f t="shared" si="810"/>
        <v>4.1500559796781928</v>
      </c>
      <c r="R335" s="158">
        <f t="shared" si="810"/>
        <v>3.9453178467775181</v>
      </c>
      <c r="S335" s="158">
        <f t="shared" si="810"/>
        <v>3.3669395665329582</v>
      </c>
      <c r="T335" s="158">
        <f t="shared" si="810"/>
        <v>3.1391142077591696</v>
      </c>
      <c r="U335" s="158">
        <f t="shared" si="810"/>
        <v>3.3148717916427963</v>
      </c>
      <c r="V335" s="158">
        <f t="shared" si="792"/>
        <v>3.3153759348648539</v>
      </c>
      <c r="W335" s="180">
        <f t="shared" si="807"/>
        <v>3.3914063366776026</v>
      </c>
      <c r="X335" s="181"/>
      <c r="Y335" s="147"/>
      <c r="Z335" s="127"/>
    </row>
    <row r="336" spans="1:26" x14ac:dyDescent="0.25">
      <c r="A336" s="133" t="s">
        <v>5</v>
      </c>
      <c r="B336" s="158">
        <f t="shared" ref="B336:F336" si="811">+B175/B14</f>
        <v>3.713334942347855</v>
      </c>
      <c r="C336" s="158">
        <f t="shared" si="811"/>
        <v>3.9978944702138772</v>
      </c>
      <c r="D336" s="158">
        <f t="shared" si="811"/>
        <v>4.3333691544427131</v>
      </c>
      <c r="E336" s="158">
        <f t="shared" si="811"/>
        <v>3.7390703381012287</v>
      </c>
      <c r="F336" s="158">
        <f t="shared" si="811"/>
        <v>2.9409690594423061</v>
      </c>
      <c r="G336" s="158">
        <f t="shared" si="804"/>
        <v>3.4508290429751942</v>
      </c>
      <c r="H336" s="158">
        <f t="shared" ref="H336" si="812">+H175/H14</f>
        <v>3.4375227712576129</v>
      </c>
      <c r="I336" s="158">
        <f t="shared" si="789"/>
        <v>3.7692032195434577</v>
      </c>
      <c r="J336" s="180">
        <f t="shared" si="805"/>
        <v>3.4167673277167019</v>
      </c>
      <c r="K336" s="181"/>
      <c r="L336" s="127"/>
      <c r="M336" s="2"/>
      <c r="N336" s="133" t="s">
        <v>5</v>
      </c>
      <c r="O336" s="158">
        <f t="shared" ref="O336:U336" si="813">+O175/O14</f>
        <v>3.704245718703473</v>
      </c>
      <c r="P336" s="158">
        <f t="shared" si="813"/>
        <v>3.8792495695162685</v>
      </c>
      <c r="Q336" s="158">
        <f t="shared" si="813"/>
        <v>4.184042524043071</v>
      </c>
      <c r="R336" s="158">
        <f t="shared" si="813"/>
        <v>3.8888246748050608</v>
      </c>
      <c r="S336" s="158">
        <f t="shared" si="813"/>
        <v>3.2899280497071453</v>
      </c>
      <c r="T336" s="158">
        <f t="shared" si="813"/>
        <v>3.1808414961825089</v>
      </c>
      <c r="U336" s="158">
        <f t="shared" si="813"/>
        <v>3.3145869828003685</v>
      </c>
      <c r="V336" s="158">
        <f t="shared" si="792"/>
        <v>3.3395600701048744</v>
      </c>
      <c r="W336" s="180">
        <f t="shared" si="807"/>
        <v>3.3628280064668572</v>
      </c>
      <c r="X336" s="181"/>
      <c r="Y336" s="147"/>
      <c r="Z336" s="127"/>
    </row>
    <row r="337" spans="1:26" x14ac:dyDescent="0.25">
      <c r="A337" s="133" t="s">
        <v>6</v>
      </c>
      <c r="B337" s="158">
        <f t="shared" ref="B337:F337" si="814">+B176/B15</f>
        <v>4.0068688291768444</v>
      </c>
      <c r="C337" s="158">
        <f t="shared" si="814"/>
        <v>4.1254321798278459</v>
      </c>
      <c r="D337" s="158">
        <f t="shared" si="814"/>
        <v>3.9983559574326275</v>
      </c>
      <c r="E337" s="158">
        <f t="shared" si="814"/>
        <v>3.7074502904835938</v>
      </c>
      <c r="F337" s="158">
        <f t="shared" si="814"/>
        <v>2.9843201905688743</v>
      </c>
      <c r="G337" s="158">
        <f t="shared" si="804"/>
        <v>3.5350391064636075</v>
      </c>
      <c r="H337" s="158">
        <f t="shared" ref="H337" si="815">+H176/H15</f>
        <v>3.1691701918892825</v>
      </c>
      <c r="I337" s="158">
        <f t="shared" si="789"/>
        <v>3.4985177728729351</v>
      </c>
      <c r="J337" s="180">
        <f t="shared" si="805"/>
        <v>3.9040422286448297</v>
      </c>
      <c r="K337" s="181"/>
      <c r="L337" s="127"/>
      <c r="M337" s="2"/>
      <c r="N337" s="133" t="s">
        <v>6</v>
      </c>
      <c r="O337" s="158">
        <f t="shared" ref="O337:U337" si="816">+O176/O15</f>
        <v>3.7197466321240564</v>
      </c>
      <c r="P337" s="158">
        <f t="shared" si="816"/>
        <v>3.8873398152036027</v>
      </c>
      <c r="Q337" s="158">
        <f t="shared" si="816"/>
        <v>4.1745608403600309</v>
      </c>
      <c r="R337" s="158">
        <f t="shared" si="816"/>
        <v>3.8666604547897183</v>
      </c>
      <c r="S337" s="158">
        <f t="shared" si="816"/>
        <v>3.2313486623609715</v>
      </c>
      <c r="T337" s="158">
        <f t="shared" si="816"/>
        <v>3.2281591090602535</v>
      </c>
      <c r="U337" s="158">
        <f t="shared" si="816"/>
        <v>3.2820963386543425</v>
      </c>
      <c r="V337" s="158">
        <f t="shared" si="792"/>
        <v>3.3724649213438207</v>
      </c>
      <c r="W337" s="180">
        <f t="shared" si="807"/>
        <v>3.3935324843007222</v>
      </c>
      <c r="X337" s="181"/>
      <c r="Y337" s="147"/>
      <c r="Z337" s="127"/>
    </row>
    <row r="338" spans="1:26" x14ac:dyDescent="0.25">
      <c r="A338" s="133" t="s">
        <v>7</v>
      </c>
      <c r="B338" s="158">
        <f t="shared" ref="B338:F338" si="817">+B177/B16</f>
        <v>3.6514122435797711</v>
      </c>
      <c r="C338" s="158">
        <f t="shared" si="817"/>
        <v>4.0764850168956581</v>
      </c>
      <c r="D338" s="158">
        <f t="shared" si="817"/>
        <v>3.8745381155969723</v>
      </c>
      <c r="E338" s="158">
        <f t="shared" si="817"/>
        <v>3.6577318923964564</v>
      </c>
      <c r="F338" s="158">
        <f t="shared" si="817"/>
        <v>2.7672437648134554</v>
      </c>
      <c r="G338" s="158">
        <f t="shared" si="804"/>
        <v>3.2159456309589003</v>
      </c>
      <c r="H338" s="158">
        <f t="shared" ref="H338:H340" si="818">+H177/H16</f>
        <v>3.372074407393673</v>
      </c>
      <c r="I338" s="158">
        <f t="shared" si="789"/>
        <v>3.4540221311547334</v>
      </c>
      <c r="J338" s="180">
        <f t="shared" si="805"/>
        <v>3.3861313117453347</v>
      </c>
      <c r="K338" s="181"/>
      <c r="L338" s="127"/>
      <c r="M338" s="2"/>
      <c r="N338" s="133" t="s">
        <v>7</v>
      </c>
      <c r="O338" s="158">
        <f t="shared" ref="O338:U340" si="819">+O177/O16</f>
        <v>3.7095951930424422</v>
      </c>
      <c r="P338" s="158">
        <f t="shared" si="819"/>
        <v>3.9288072430068639</v>
      </c>
      <c r="Q338" s="158">
        <f t="shared" si="819"/>
        <v>4.15412905670778</v>
      </c>
      <c r="R338" s="158">
        <f t="shared" si="819"/>
        <v>3.8451855608758683</v>
      </c>
      <c r="S338" s="158">
        <f t="shared" si="819"/>
        <v>3.1420389076432436</v>
      </c>
      <c r="T338" s="158">
        <f t="shared" si="819"/>
        <v>3.2749903685951161</v>
      </c>
      <c r="U338" s="158">
        <f t="shared" si="819"/>
        <v>3.2946957215361357</v>
      </c>
      <c r="V338" s="158">
        <f t="shared" si="792"/>
        <v>3.3799355329571554</v>
      </c>
      <c r="W338" s="180">
        <f t="shared" si="807"/>
        <v>3.3874756359638165</v>
      </c>
      <c r="X338" s="181"/>
      <c r="Y338" s="147"/>
      <c r="Z338" s="127"/>
    </row>
    <row r="339" spans="1:26" x14ac:dyDescent="0.25">
      <c r="A339" s="133" t="s">
        <v>8</v>
      </c>
      <c r="B339" s="158">
        <f t="shared" ref="B339:F339" si="820">+B178/B17</f>
        <v>3.9528914389249588</v>
      </c>
      <c r="C339" s="158">
        <f t="shared" si="820"/>
        <v>4.2227610733915295</v>
      </c>
      <c r="D339" s="158">
        <f t="shared" si="820"/>
        <v>4.117448364246898</v>
      </c>
      <c r="E339" s="158">
        <f t="shared" si="820"/>
        <v>3.4977542651209856</v>
      </c>
      <c r="F339" s="158">
        <f t="shared" si="820"/>
        <v>3.0237933682789881</v>
      </c>
      <c r="G339" s="158">
        <f t="shared" si="804"/>
        <v>3.1141459908354618</v>
      </c>
      <c r="H339" s="158">
        <f t="shared" si="818"/>
        <v>2.9409718195523604</v>
      </c>
      <c r="I339" s="158">
        <f t="shared" si="789"/>
        <v>3.2620560078733112</v>
      </c>
      <c r="J339" s="180">
        <f t="shared" si="805"/>
        <v>3.2973881892785992</v>
      </c>
      <c r="K339" s="181"/>
      <c r="L339" s="127"/>
      <c r="M339" s="2"/>
      <c r="N339" s="133" t="s">
        <v>8</v>
      </c>
      <c r="O339" s="158">
        <f t="shared" ref="O339:T340" si="821">+O178/O17</f>
        <v>3.722538117550946</v>
      </c>
      <c r="P339" s="158">
        <f t="shared" si="821"/>
        <v>3.9492254747341802</v>
      </c>
      <c r="Q339" s="158">
        <f t="shared" si="821"/>
        <v>4.1455222699496197</v>
      </c>
      <c r="R339" s="158">
        <f t="shared" si="821"/>
        <v>3.7925390184934371</v>
      </c>
      <c r="S339" s="158">
        <f t="shared" si="821"/>
        <v>3.1042108808479378</v>
      </c>
      <c r="T339" s="158">
        <f t="shared" si="821"/>
        <v>3.2803131600397619</v>
      </c>
      <c r="U339" s="158">
        <f t="shared" si="819"/>
        <v>3.2870430456327355</v>
      </c>
      <c r="V339" s="158">
        <f t="shared" si="792"/>
        <v>3.4100941914593821</v>
      </c>
      <c r="W339" s="180">
        <f t="shared" si="807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822">+B179/B18</f>
        <v>3.4677647248799</v>
      </c>
      <c r="C340" s="158">
        <f t="shared" si="822"/>
        <v>4.2286024642975049</v>
      </c>
      <c r="D340" s="158">
        <f t="shared" si="822"/>
        <v>3.8211566979733074</v>
      </c>
      <c r="E340" s="158">
        <f t="shared" si="822"/>
        <v>3.5786638677928178</v>
      </c>
      <c r="F340" s="158">
        <f t="shared" si="822"/>
        <v>3.0895085883758289</v>
      </c>
      <c r="G340" s="158">
        <f t="shared" si="804"/>
        <v>3.0851762149437514</v>
      </c>
      <c r="H340" s="158">
        <f t="shared" si="818"/>
        <v>3.318479709888225</v>
      </c>
      <c r="I340" s="158">
        <f t="shared" si="789"/>
        <v>3.2489489543674783</v>
      </c>
      <c r="J340" s="180">
        <f t="shared" si="805"/>
        <v>3.1777767411484814</v>
      </c>
      <c r="K340" s="181"/>
      <c r="L340" s="127"/>
      <c r="M340" s="2"/>
      <c r="N340" s="133" t="s">
        <v>9</v>
      </c>
      <c r="O340" s="158">
        <f t="shared" ref="O340:S340" si="823">+O179/O18</f>
        <v>3.7159306664555176</v>
      </c>
      <c r="P340" s="158">
        <f t="shared" si="823"/>
        <v>4.0214582309830345</v>
      </c>
      <c r="Q340" s="158">
        <f t="shared" si="823"/>
        <v>4.1109937797367024</v>
      </c>
      <c r="R340" s="158">
        <f t="shared" si="823"/>
        <v>3.7731582399618944</v>
      </c>
      <c r="S340" s="158">
        <f t="shared" si="823"/>
        <v>3.0710545100367579</v>
      </c>
      <c r="T340" s="158">
        <f t="shared" si="821"/>
        <v>3.2786572806722418</v>
      </c>
      <c r="U340" s="158">
        <f t="shared" si="819"/>
        <v>3.3073993635710499</v>
      </c>
      <c r="V340" s="158">
        <f t="shared" si="792"/>
        <v>3.4036254194820001</v>
      </c>
      <c r="W340" s="180">
        <f t="shared" si="807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822"/>
        <v>3.7159306664555176</v>
      </c>
      <c r="C341" s="182">
        <f t="shared" si="822"/>
        <v>4.0214582309830345</v>
      </c>
      <c r="D341" s="182">
        <f t="shared" si="822"/>
        <v>4.1109937797367024</v>
      </c>
      <c r="E341" s="182">
        <f t="shared" si="822"/>
        <v>3.7731582399618944</v>
      </c>
      <c r="F341" s="182">
        <f t="shared" si="822"/>
        <v>3.0710545100367579</v>
      </c>
      <c r="G341" s="182">
        <f t="shared" ref="G341:H341" si="824">+G180/G19</f>
        <v>3.2786572806722418</v>
      </c>
      <c r="H341" s="182">
        <f t="shared" si="824"/>
        <v>3.3073993635710499</v>
      </c>
      <c r="I341" s="182">
        <f t="shared" ref="I341" si="825">+I180/I19</f>
        <v>3.4036254194820001</v>
      </c>
      <c r="J341" s="183">
        <f t="shared" ref="J341" si="826">+J180/J19</f>
        <v>3.3840818447103334</v>
      </c>
      <c r="K341" s="183"/>
      <c r="L341" s="137"/>
      <c r="M341" s="3"/>
      <c r="N341" s="134" t="s">
        <v>14</v>
      </c>
      <c r="O341" s="182">
        <f t="shared" ref="O341:U341" si="827">+O180/O19</f>
        <v>3.6983929355879339</v>
      </c>
      <c r="P341" s="182">
        <f t="shared" si="827"/>
        <v>3.8505199640776109</v>
      </c>
      <c r="Q341" s="182">
        <f t="shared" si="827"/>
        <v>4.1346094862487028</v>
      </c>
      <c r="R341" s="182">
        <f t="shared" si="827"/>
        <v>3.9338129814251559</v>
      </c>
      <c r="S341" s="182">
        <f t="shared" si="827"/>
        <v>3.3917279854049975</v>
      </c>
      <c r="T341" s="182">
        <f t="shared" si="827"/>
        <v>3.146229882058956</v>
      </c>
      <c r="U341" s="182">
        <f t="shared" si="827"/>
        <v>3.30359828104688</v>
      </c>
      <c r="V341" s="182">
        <f t="shared" ref="V341:W341" si="828">+V180/V19</f>
        <v>3.338714398819342</v>
      </c>
      <c r="W341" s="183">
        <f t="shared" si="828"/>
        <v>3.3928096602528104</v>
      </c>
      <c r="X341" s="183">
        <f t="shared" ref="X341" si="829">+X180/X19</f>
        <v>3.3938008182289758</v>
      </c>
      <c r="Y341" s="149">
        <f>+X341/W341-1</f>
        <v>2.921348603126539E-4</v>
      </c>
      <c r="Z341" s="156">
        <f>+POWER(X341/S341,0.2)-1</f>
        <v>1.2219884962605398E-4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830">+C341/C$485</f>
        <v>1.0661159269849725</v>
      </c>
      <c r="D342" s="138">
        <f t="shared" si="830"/>
        <v>1.0806023430637828</v>
      </c>
      <c r="E342" s="138">
        <f t="shared" si="830"/>
        <v>1.1095911213564091</v>
      </c>
      <c r="F342" s="138">
        <f t="shared" si="830"/>
        <v>1.1169008813297878</v>
      </c>
      <c r="G342" s="138">
        <f t="shared" ref="G342:H342" si="831">+G341/G$485</f>
        <v>1.0718926750253246</v>
      </c>
      <c r="H342" s="138">
        <f t="shared" si="831"/>
        <v>1.0181334590181235</v>
      </c>
      <c r="I342" s="138">
        <f t="shared" ref="I342" si="832">+I341/I$485</f>
        <v>0.96293194133647164</v>
      </c>
      <c r="J342" s="139">
        <f t="shared" ref="J342" si="833">+J341/J$485</f>
        <v>0.95311783775121861</v>
      </c>
      <c r="K342" s="139"/>
      <c r="L342" s="140"/>
      <c r="M342" s="3"/>
      <c r="N342" s="135" t="s">
        <v>15</v>
      </c>
      <c r="O342" s="138">
        <f t="shared" ref="O342:T342" si="834">+O341/O$485</f>
        <v>1.0848220551101444</v>
      </c>
      <c r="P342" s="138">
        <f t="shared" si="834"/>
        <v>1.0649047598204933</v>
      </c>
      <c r="Q342" s="138">
        <f t="shared" si="834"/>
        <v>1.0713883130458528</v>
      </c>
      <c r="R342" s="138">
        <f t="shared" si="834"/>
        <v>1.0957976024862808</v>
      </c>
      <c r="S342" s="138">
        <f t="shared" si="834"/>
        <v>1.1298430718932959</v>
      </c>
      <c r="T342" s="138">
        <f t="shared" si="834"/>
        <v>1.0858211567068288</v>
      </c>
      <c r="U342" s="138">
        <f t="shared" ref="U342:V342" si="835">+U341/U$485</f>
        <v>1.0499121516100167</v>
      </c>
      <c r="V342" s="138">
        <f t="shared" si="835"/>
        <v>0.98063933804590253</v>
      </c>
      <c r="W342" s="139">
        <f t="shared" ref="W342:X342" si="836">+W341/W$485</f>
        <v>0.95722925075967136</v>
      </c>
      <c r="X342" s="139">
        <f t="shared" si="836"/>
        <v>0.95128659571662566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837">+D341/C341-1</f>
        <v>2.2264448269995185E-2</v>
      </c>
      <c r="E343" s="142">
        <f t="shared" ref="E343" si="838">+E341/D341-1</f>
        <v>-8.217855775895766E-2</v>
      </c>
      <c r="F343" s="142">
        <f t="shared" ref="F343:J343" si="839">+F341/E341-1</f>
        <v>-0.18607852766128019</v>
      </c>
      <c r="G343" s="142">
        <f t="shared" si="839"/>
        <v>6.7599832551653138E-2</v>
      </c>
      <c r="H343" s="142">
        <f t="shared" si="839"/>
        <v>8.7664188228038231E-3</v>
      </c>
      <c r="I343" s="142">
        <f t="shared" si="839"/>
        <v>2.9094175009773737E-2</v>
      </c>
      <c r="J343" s="143">
        <f t="shared" si="839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840">+Q341/P341-1</f>
        <v>7.3779521940264825E-2</v>
      </c>
      <c r="R343" s="142">
        <f t="shared" ref="R343" si="841">+R341/Q341-1</f>
        <v>-4.8564805332009242E-2</v>
      </c>
      <c r="S343" s="142">
        <f t="shared" ref="S343" si="842">+S341/R341-1</f>
        <v>-0.13780141521211053</v>
      </c>
      <c r="T343" s="142">
        <f t="shared" ref="T343:X343" si="843">+T341/S341-1</f>
        <v>-7.2381424572503628E-2</v>
      </c>
      <c r="U343" s="142">
        <f t="shared" si="843"/>
        <v>5.0018086690136965E-2</v>
      </c>
      <c r="V343" s="142">
        <f t="shared" si="843"/>
        <v>1.0629657356927114E-2</v>
      </c>
      <c r="W343" s="143">
        <f t="shared" si="843"/>
        <v>1.6202422541022887E-2</v>
      </c>
      <c r="X343" s="143">
        <f t="shared" si="843"/>
        <v>2.921348603126539E-4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47" t="s">
        <v>84</v>
      </c>
      <c r="B345" s="348"/>
      <c r="C345" s="348"/>
      <c r="D345" s="348"/>
      <c r="E345" s="348"/>
      <c r="F345" s="348"/>
      <c r="G345" s="348"/>
      <c r="H345" s="348"/>
      <c r="I345" s="348"/>
      <c r="J345" s="348"/>
      <c r="K345" s="348"/>
      <c r="L345" s="349"/>
      <c r="M345" s="2"/>
      <c r="N345" s="347" t="s">
        <v>85</v>
      </c>
      <c r="O345" s="348"/>
      <c r="P345" s="348"/>
      <c r="Q345" s="348"/>
      <c r="R345" s="348"/>
      <c r="S345" s="348"/>
      <c r="T345" s="348"/>
      <c r="U345" s="348"/>
      <c r="V345" s="348"/>
      <c r="W345" s="348"/>
      <c r="X345" s="348"/>
      <c r="Y345" s="348"/>
      <c r="Z345" s="349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844">+C346+1</f>
        <v>2018</v>
      </c>
      <c r="E346" s="129">
        <f t="shared" ref="E346" si="845">+D346+1</f>
        <v>2019</v>
      </c>
      <c r="F346" s="129">
        <f t="shared" ref="F346" si="846">+E346+1</f>
        <v>2020</v>
      </c>
      <c r="G346" s="129">
        <f t="shared" ref="G346" si="847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848">+P346+1</f>
        <v>2018</v>
      </c>
      <c r="R346" s="129">
        <f t="shared" ref="R346" si="849">+Q346+1</f>
        <v>2019</v>
      </c>
      <c r="S346" s="129">
        <f t="shared" ref="S346" si="850">+R346+1</f>
        <v>2020</v>
      </c>
      <c r="T346" s="129">
        <f t="shared" ref="T346" si="851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852">+C186/C25</f>
        <v>4.1123483047666705</v>
      </c>
      <c r="D347" s="158">
        <f t="shared" si="852"/>
        <v>4.3056950776601495</v>
      </c>
      <c r="E347" s="158">
        <f t="shared" si="852"/>
        <v>4.1935256861365229</v>
      </c>
      <c r="F347" s="158">
        <f t="shared" si="852"/>
        <v>3.2186588921282793</v>
      </c>
      <c r="G347" s="158">
        <f t="shared" si="852"/>
        <v>2.8958965260687917</v>
      </c>
      <c r="H347" s="158">
        <f t="shared" si="852"/>
        <v>3.3800543039553825</v>
      </c>
      <c r="I347" s="158">
        <f t="shared" ref="I347:J347" si="853">+I186/I25</f>
        <v>3.7967192023158574</v>
      </c>
      <c r="J347" s="180">
        <f t="shared" si="853"/>
        <v>3.6680386713889153</v>
      </c>
      <c r="K347" s="181">
        <f t="shared" ref="K347" si="854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855">+P186/P25</f>
        <v>3.9582056381763828</v>
      </c>
      <c r="Q347" s="158">
        <f t="shared" si="855"/>
        <v>4.1457894708208904</v>
      </c>
      <c r="R347" s="158">
        <f t="shared" si="855"/>
        <v>4.1228277064146308</v>
      </c>
      <c r="S347" s="158">
        <f t="shared" si="855"/>
        <v>3.7627043621856893</v>
      </c>
      <c r="T347" s="158">
        <f t="shared" si="855"/>
        <v>3.0108190578856546</v>
      </c>
      <c r="U347" s="158">
        <f t="shared" si="855"/>
        <v>3.281478645567466</v>
      </c>
      <c r="V347" s="158">
        <f t="shared" si="855"/>
        <v>3.7842568467217328</v>
      </c>
      <c r="W347" s="180">
        <f t="shared" si="855"/>
        <v>3.7841983366026852</v>
      </c>
      <c r="X347" s="181">
        <f t="shared" ref="X347" si="856">+X186/X25</f>
        <v>3.8963609345853487</v>
      </c>
      <c r="Y347" s="147">
        <f t="shared" ref="Y347:Y349" si="857">+X347/W347-1</f>
        <v>2.9639724984224625E-2</v>
      </c>
      <c r="Z347" s="127">
        <f t="shared" ref="Z347:Z349" si="858">+POWER(X347/S347,0.2)-1</f>
        <v>7.0054400348178447E-3</v>
      </c>
    </row>
    <row r="348" spans="1:26" x14ac:dyDescent="0.25">
      <c r="A348" s="133" t="s">
        <v>11</v>
      </c>
      <c r="B348" s="158">
        <f t="shared" ref="B348:G348" si="859">+B187/B26</f>
        <v>4.019343679364904</v>
      </c>
      <c r="C348" s="158">
        <f t="shared" si="859"/>
        <v>4.5442397632910181</v>
      </c>
      <c r="D348" s="158">
        <f t="shared" si="859"/>
        <v>4.3771339381523759</v>
      </c>
      <c r="E348" s="158">
        <f t="shared" si="859"/>
        <v>4.0413934077165496</v>
      </c>
      <c r="F348" s="158">
        <f t="shared" si="859"/>
        <v>2.9812136126282938</v>
      </c>
      <c r="G348" s="158">
        <f t="shared" si="859"/>
        <v>2.8506476341527889</v>
      </c>
      <c r="H348" s="158">
        <f t="shared" si="852"/>
        <v>3.8844534765568302</v>
      </c>
      <c r="I348" s="158">
        <f t="shared" ref="I348:J358" si="860">+I187/I26</f>
        <v>3.8150384647199931</v>
      </c>
      <c r="J348" s="180">
        <f t="shared" si="860"/>
        <v>3.8502292409577175</v>
      </c>
      <c r="K348" s="181">
        <f t="shared" ref="K348:K349" si="861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862">+O187/O26</f>
        <v>3.0189016852290713</v>
      </c>
      <c r="P348" s="158">
        <f t="shared" si="862"/>
        <v>3.9862392742942281</v>
      </c>
      <c r="Q348" s="158">
        <f t="shared" si="862"/>
        <v>4.1359682330448244</v>
      </c>
      <c r="R348" s="158">
        <f t="shared" si="862"/>
        <v>4.1025056038145866</v>
      </c>
      <c r="S348" s="158">
        <f t="shared" si="862"/>
        <v>3.6727595934613744</v>
      </c>
      <c r="T348" s="158">
        <f t="shared" si="862"/>
        <v>2.9999009947871609</v>
      </c>
      <c r="U348" s="158">
        <f t="shared" si="862"/>
        <v>3.3530483641598132</v>
      </c>
      <c r="V348" s="158">
        <f t="shared" si="855"/>
        <v>3.7794606488923095</v>
      </c>
      <c r="W348" s="180">
        <f t="shared" si="855"/>
        <v>3.7859041811522807</v>
      </c>
      <c r="X348" s="181">
        <f t="shared" ref="X348:X349" si="863">+X187/X26</f>
        <v>3.9267271940116819</v>
      </c>
      <c r="Y348" s="147">
        <f t="shared" si="857"/>
        <v>3.7196665874554835E-2</v>
      </c>
      <c r="Z348" s="127">
        <f t="shared" si="858"/>
        <v>1.3462411399187912E-2</v>
      </c>
    </row>
    <row r="349" spans="1:26" x14ac:dyDescent="0.25">
      <c r="A349" s="133" t="s">
        <v>0</v>
      </c>
      <c r="B349" s="158">
        <f t="shared" ref="B349:G349" si="864">+B188/B27</f>
        <v>3.9292064546189733</v>
      </c>
      <c r="C349" s="158">
        <f t="shared" si="864"/>
        <v>3.9620586886749201</v>
      </c>
      <c r="D349" s="158">
        <f t="shared" si="864"/>
        <v>4.4317532838378071</v>
      </c>
      <c r="E349" s="158">
        <f t="shared" si="864"/>
        <v>4.1364914373349242</v>
      </c>
      <c r="F349" s="158">
        <f t="shared" si="864"/>
        <v>3.1416803953871502</v>
      </c>
      <c r="G349" s="158">
        <f t="shared" si="864"/>
        <v>2.8968819246597022</v>
      </c>
      <c r="H349" s="158">
        <f t="shared" si="852"/>
        <v>3.9328353481193092</v>
      </c>
      <c r="I349" s="158">
        <f t="shared" si="860"/>
        <v>3.7356060606060604</v>
      </c>
      <c r="J349" s="180">
        <f t="shared" si="860"/>
        <v>4.4057609435246086</v>
      </c>
      <c r="K349" s="181">
        <f t="shared" si="861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865">+O188/O27</f>
        <v>3.1999076921801373</v>
      </c>
      <c r="P349" s="158">
        <f t="shared" si="865"/>
        <v>3.9884309250316319</v>
      </c>
      <c r="Q349" s="158">
        <f t="shared" si="865"/>
        <v>4.173299849772417</v>
      </c>
      <c r="R349" s="158">
        <f t="shared" si="865"/>
        <v>4.0817015336914428</v>
      </c>
      <c r="S349" s="158">
        <f t="shared" si="865"/>
        <v>3.5922009253139464</v>
      </c>
      <c r="T349" s="158">
        <f t="shared" si="865"/>
        <v>2.9782389826755731</v>
      </c>
      <c r="U349" s="158">
        <f t="shared" si="865"/>
        <v>3.450309254020663</v>
      </c>
      <c r="V349" s="158">
        <f t="shared" si="855"/>
        <v>3.7637293784254449</v>
      </c>
      <c r="W349" s="180">
        <f t="shared" si="855"/>
        <v>3.8249514284804285</v>
      </c>
      <c r="X349" s="181">
        <f t="shared" si="863"/>
        <v>3.9382364445313649</v>
      </c>
      <c r="Y349" s="147">
        <f t="shared" si="857"/>
        <v>2.9617373754715182E-2</v>
      </c>
      <c r="Z349" s="127">
        <f t="shared" si="858"/>
        <v>1.8563790857185403E-2</v>
      </c>
    </row>
    <row r="350" spans="1:26" x14ac:dyDescent="0.25">
      <c r="A350" s="133" t="s">
        <v>1</v>
      </c>
      <c r="B350" s="158">
        <f t="shared" ref="B350:H350" si="866">+B189/B28</f>
        <v>4.0955677671527262</v>
      </c>
      <c r="C350" s="158">
        <f t="shared" si="866"/>
        <v>4.2326889279437605</v>
      </c>
      <c r="D350" s="158">
        <f t="shared" si="866"/>
        <v>4.1713292000604874</v>
      </c>
      <c r="E350" s="158">
        <f t="shared" si="866"/>
        <v>4.0441074161680808</v>
      </c>
      <c r="F350" s="158">
        <f t="shared" si="866"/>
        <v>3.5062770803244083</v>
      </c>
      <c r="G350" s="158">
        <f t="shared" si="866"/>
        <v>3.3608689001070826</v>
      </c>
      <c r="H350" s="158">
        <f t="shared" si="866"/>
        <v>3.7268633556121262</v>
      </c>
      <c r="I350" s="158">
        <f t="shared" si="860"/>
        <v>3.5949177877428999</v>
      </c>
      <c r="J350" s="180">
        <f t="shared" si="860"/>
        <v>3.7706826817011887</v>
      </c>
      <c r="K350" s="181"/>
      <c r="L350" s="127"/>
      <c r="M350" s="2"/>
      <c r="N350" s="133" t="s">
        <v>1</v>
      </c>
      <c r="O350" s="158">
        <f t="shared" ref="O350:U350" si="867">+O189/O28</f>
        <v>3.4245524474526299</v>
      </c>
      <c r="P350" s="158">
        <f t="shared" si="867"/>
        <v>3.9968075030720693</v>
      </c>
      <c r="Q350" s="158">
        <f t="shared" si="867"/>
        <v>4.1683906717700978</v>
      </c>
      <c r="R350" s="158">
        <f t="shared" si="867"/>
        <v>4.0718933818305816</v>
      </c>
      <c r="S350" s="158">
        <f t="shared" si="867"/>
        <v>3.5501464128843336</v>
      </c>
      <c r="T350" s="158">
        <f t="shared" si="867"/>
        <v>2.9699313641682785</v>
      </c>
      <c r="U350" s="158">
        <f t="shared" si="867"/>
        <v>3.4827550349301877</v>
      </c>
      <c r="V350" s="158">
        <f t="shared" si="855"/>
        <v>3.7571477540101594</v>
      </c>
      <c r="W350" s="180">
        <f t="shared" si="855"/>
        <v>3.8366375006976279</v>
      </c>
      <c r="X350" s="181"/>
      <c r="Y350" s="147"/>
      <c r="Z350" s="127"/>
    </row>
    <row r="351" spans="1:26" x14ac:dyDescent="0.25">
      <c r="A351" s="133" t="s">
        <v>2</v>
      </c>
      <c r="B351" s="158">
        <f t="shared" ref="B351:H351" si="868">+B190/B29</f>
        <v>3.9001109199124873</v>
      </c>
      <c r="C351" s="158">
        <f t="shared" si="868"/>
        <v>4.059988959087284</v>
      </c>
      <c r="D351" s="158">
        <f t="shared" si="868"/>
        <v>4.2563525022876041</v>
      </c>
      <c r="E351" s="158">
        <f t="shared" si="868"/>
        <v>4.1513184046641047</v>
      </c>
      <c r="F351" s="158">
        <f t="shared" si="868"/>
        <v>2.993429365681072</v>
      </c>
      <c r="G351" s="158">
        <f t="shared" si="868"/>
        <v>2.1455693081512899</v>
      </c>
      <c r="H351" s="158">
        <f t="shared" si="868"/>
        <v>3.8751807685377271</v>
      </c>
      <c r="I351" s="158">
        <f t="shared" si="860"/>
        <v>3.7106789491641075</v>
      </c>
      <c r="J351" s="180">
        <f t="shared" ref="J351" si="869">+J190/J29</f>
        <v>3.4665179954159697</v>
      </c>
      <c r="K351" s="181"/>
      <c r="L351" s="127"/>
      <c r="M351" s="2"/>
      <c r="N351" s="133" t="s">
        <v>2</v>
      </c>
      <c r="O351" s="158">
        <f t="shared" ref="O351:U351" si="870">+O190/O29</f>
        <v>3.4549977523205384</v>
      </c>
      <c r="P351" s="158">
        <f t="shared" si="870"/>
        <v>4.0112742766135714</v>
      </c>
      <c r="Q351" s="158">
        <f t="shared" si="870"/>
        <v>4.1856007666813078</v>
      </c>
      <c r="R351" s="158">
        <f t="shared" si="870"/>
        <v>4.0638536094366726</v>
      </c>
      <c r="S351" s="158">
        <f t="shared" si="870"/>
        <v>3.4569785491785341</v>
      </c>
      <c r="T351" s="158">
        <f t="shared" si="870"/>
        <v>2.9003027302766946</v>
      </c>
      <c r="U351" s="158">
        <f t="shared" si="870"/>
        <v>3.6374761348095936</v>
      </c>
      <c r="V351" s="158">
        <f t="shared" si="855"/>
        <v>3.7432280491780272</v>
      </c>
      <c r="W351" s="180">
        <f t="shared" ref="W351:W358" si="871">+W190/W29</f>
        <v>3.8112676575585711</v>
      </c>
      <c r="X351" s="181"/>
      <c r="Y351" s="147"/>
      <c r="Z351" s="127"/>
    </row>
    <row r="352" spans="1:26" x14ac:dyDescent="0.25">
      <c r="A352" s="133" t="s">
        <v>3</v>
      </c>
      <c r="B352" s="158">
        <f t="shared" ref="B352:H359" si="872">+B191/B30</f>
        <v>3.9471856970957218</v>
      </c>
      <c r="C352" s="158">
        <f t="shared" si="872"/>
        <v>3.9277978339350179</v>
      </c>
      <c r="D352" s="158">
        <f t="shared" si="872"/>
        <v>3.9964724039097521</v>
      </c>
      <c r="E352" s="158">
        <f t="shared" si="872"/>
        <v>4.043112959348214</v>
      </c>
      <c r="F352" s="158">
        <f t="shared" si="872"/>
        <v>2.8141172082614574</v>
      </c>
      <c r="G352" s="158">
        <f t="shared" si="872"/>
        <v>3.5556083650190113</v>
      </c>
      <c r="H352" s="158">
        <f t="shared" si="872"/>
        <v>3.7773611945341696</v>
      </c>
      <c r="I352" s="158">
        <f t="shared" si="860"/>
        <v>3.6390112762303044</v>
      </c>
      <c r="J352" s="180">
        <f t="shared" ref="J352:J358" si="873">+J191/J30</f>
        <v>3.7875265339128679</v>
      </c>
      <c r="K352" s="181"/>
      <c r="L352" s="127"/>
      <c r="M352" s="2"/>
      <c r="N352" s="133" t="s">
        <v>3</v>
      </c>
      <c r="O352" s="158">
        <f t="shared" ref="O352:U352" si="874">+O191/O30</f>
        <v>3.458175824203392</v>
      </c>
      <c r="P352" s="158">
        <f t="shared" si="874"/>
        <v>4.0080978798234606</v>
      </c>
      <c r="Q352" s="158">
        <f t="shared" si="874"/>
        <v>4.1977027904717881</v>
      </c>
      <c r="R352" s="158">
        <f t="shared" si="874"/>
        <v>4.0676958941366026</v>
      </c>
      <c r="S352" s="158">
        <f t="shared" si="874"/>
        <v>3.3543443761158498</v>
      </c>
      <c r="T352" s="158">
        <f t="shared" si="874"/>
        <v>2.9641178007052362</v>
      </c>
      <c r="U352" s="158">
        <f t="shared" si="874"/>
        <v>3.6583948766792123</v>
      </c>
      <c r="V352" s="158">
        <f t="shared" si="855"/>
        <v>3.7321537506073326</v>
      </c>
      <c r="W352" s="180">
        <f t="shared" si="871"/>
        <v>3.8242773985720655</v>
      </c>
      <c r="X352" s="181"/>
      <c r="Y352" s="147"/>
      <c r="Z352" s="127"/>
    </row>
    <row r="353" spans="1:26" x14ac:dyDescent="0.25">
      <c r="A353" s="133" t="s">
        <v>4</v>
      </c>
      <c r="B353" s="158">
        <f t="shared" ref="B353:F353" si="875">+B192/B31</f>
        <v>3.8533552324668316</v>
      </c>
      <c r="C353" s="158">
        <f t="shared" si="875"/>
        <v>4.0074600769320439</v>
      </c>
      <c r="D353" s="158">
        <f t="shared" si="875"/>
        <v>4.0120915203002037</v>
      </c>
      <c r="E353" s="158">
        <f t="shared" si="875"/>
        <v>3.4057226705796033</v>
      </c>
      <c r="F353" s="158">
        <f t="shared" si="875"/>
        <v>3.2448566250932735</v>
      </c>
      <c r="G353" s="158">
        <f t="shared" si="872"/>
        <v>3.6448274154409948</v>
      </c>
      <c r="H353" s="158">
        <f t="shared" ref="H353" si="876">+H192/H31</f>
        <v>3.4064861996339428</v>
      </c>
      <c r="I353" s="158">
        <f t="shared" si="860"/>
        <v>3.7324376986975696</v>
      </c>
      <c r="J353" s="180">
        <f t="shared" si="873"/>
        <v>3.8914626075446725</v>
      </c>
      <c r="K353" s="181"/>
      <c r="L353" s="127"/>
      <c r="M353" s="2"/>
      <c r="N353" s="133" t="s">
        <v>4</v>
      </c>
      <c r="O353" s="158">
        <f t="shared" ref="O353:U353" si="877">+O192/O31</f>
        <v>3.4464660008012977</v>
      </c>
      <c r="P353" s="158">
        <f t="shared" si="877"/>
        <v>4.0180489501310239</v>
      </c>
      <c r="Q353" s="158">
        <f t="shared" si="877"/>
        <v>4.1959845488400074</v>
      </c>
      <c r="R353" s="158">
        <f t="shared" si="877"/>
        <v>3.9969706596473706</v>
      </c>
      <c r="S353" s="158">
        <f t="shared" si="877"/>
        <v>3.3388178458368549</v>
      </c>
      <c r="T353" s="158">
        <f t="shared" si="877"/>
        <v>2.9985189994116577</v>
      </c>
      <c r="U353" s="158">
        <f t="shared" si="877"/>
        <v>3.6366381411359905</v>
      </c>
      <c r="V353" s="158">
        <f t="shared" si="855"/>
        <v>3.7666565060490891</v>
      </c>
      <c r="W353" s="180">
        <f t="shared" si="871"/>
        <v>3.8437939168841591</v>
      </c>
      <c r="X353" s="181"/>
      <c r="Y353" s="147"/>
      <c r="Z353" s="127"/>
    </row>
    <row r="354" spans="1:26" x14ac:dyDescent="0.25">
      <c r="A354" s="133" t="s">
        <v>5</v>
      </c>
      <c r="B354" s="158">
        <f t="shared" ref="B354:F354" si="878">+B193/B32</f>
        <v>3.8411643376455635</v>
      </c>
      <c r="C354" s="158">
        <f t="shared" si="878"/>
        <v>4.0526669224865692</v>
      </c>
      <c r="D354" s="158">
        <f t="shared" si="878"/>
        <v>4.2115582569481891</v>
      </c>
      <c r="E354" s="158">
        <f t="shared" si="878"/>
        <v>3.9878739346794032</v>
      </c>
      <c r="F354" s="158">
        <f t="shared" si="878"/>
        <v>2.7341717259323501</v>
      </c>
      <c r="G354" s="158">
        <f t="shared" si="872"/>
        <v>3.5892696122633003</v>
      </c>
      <c r="H354" s="158">
        <f t="shared" ref="H354" si="879">+H193/H32</f>
        <v>3.8087482609854715</v>
      </c>
      <c r="I354" s="158">
        <f t="shared" si="860"/>
        <v>3.9322124366159596</v>
      </c>
      <c r="J354" s="180">
        <f t="shared" si="873"/>
        <v>3.854166666666667</v>
      </c>
      <c r="K354" s="181"/>
      <c r="L354" s="127"/>
      <c r="M354" s="2"/>
      <c r="N354" s="133" t="s">
        <v>5</v>
      </c>
      <c r="O354" s="158">
        <f t="shared" ref="O354:U354" si="880">+O193/O32</f>
        <v>3.4398843150274248</v>
      </c>
      <c r="P354" s="158">
        <f t="shared" si="880"/>
        <v>4.0445908727475492</v>
      </c>
      <c r="Q354" s="158">
        <f t="shared" si="880"/>
        <v>4.2151491434037753</v>
      </c>
      <c r="R354" s="158">
        <f t="shared" si="880"/>
        <v>3.9708003091867692</v>
      </c>
      <c r="S354" s="158">
        <f t="shared" si="880"/>
        <v>3.2157696536826017</v>
      </c>
      <c r="T354" s="158">
        <f t="shared" si="880"/>
        <v>3.0766975465743664</v>
      </c>
      <c r="U354" s="158">
        <f t="shared" si="880"/>
        <v>3.6597303037369242</v>
      </c>
      <c r="V354" s="158">
        <f t="shared" si="855"/>
        <v>3.7781920852114177</v>
      </c>
      <c r="W354" s="180">
        <f t="shared" si="871"/>
        <v>3.8343318075035162</v>
      </c>
      <c r="X354" s="181"/>
      <c r="Y354" s="147"/>
      <c r="Z354" s="127"/>
    </row>
    <row r="355" spans="1:26" x14ac:dyDescent="0.25">
      <c r="A355" s="133" t="s">
        <v>6</v>
      </c>
      <c r="B355" s="158">
        <f t="shared" ref="B355:F355" si="881">+B194/B33</f>
        <v>3.893435774909622</v>
      </c>
      <c r="C355" s="158">
        <f t="shared" si="881"/>
        <v>4.2808679058590711</v>
      </c>
      <c r="D355" s="158">
        <f t="shared" si="881"/>
        <v>3.988826815642458</v>
      </c>
      <c r="E355" s="158">
        <f t="shared" si="881"/>
        <v>3.4149556048834628</v>
      </c>
      <c r="F355" s="158">
        <f t="shared" si="881"/>
        <v>3.2393359949569236</v>
      </c>
      <c r="G355" s="158">
        <f t="shared" si="872"/>
        <v>3.7112580297275759</v>
      </c>
      <c r="H355" s="158">
        <f t="shared" ref="H355" si="882">+H194/H33</f>
        <v>3.7324026142699429</v>
      </c>
      <c r="I355" s="158">
        <f t="shared" si="860"/>
        <v>3.9177718832891251</v>
      </c>
      <c r="J355" s="180">
        <f t="shared" si="873"/>
        <v>3.6939025175455544</v>
      </c>
      <c r="K355" s="181"/>
      <c r="L355" s="127"/>
      <c r="M355" s="2"/>
      <c r="N355" s="133" t="s">
        <v>6</v>
      </c>
      <c r="O355" s="158">
        <f t="shared" ref="O355:U355" si="883">+O194/O33</f>
        <v>3.4416745845115155</v>
      </c>
      <c r="P355" s="158">
        <f t="shared" si="883"/>
        <v>4.0773943553102967</v>
      </c>
      <c r="Q355" s="158">
        <f t="shared" si="883"/>
        <v>4.1909924937447887</v>
      </c>
      <c r="R355" s="158">
        <f t="shared" si="883"/>
        <v>3.9231150622066941</v>
      </c>
      <c r="S355" s="158">
        <f t="shared" si="883"/>
        <v>3.205017844430071</v>
      </c>
      <c r="T355" s="158">
        <f t="shared" si="883"/>
        <v>3.1164466675167724</v>
      </c>
      <c r="U355" s="158">
        <f t="shared" si="883"/>
        <v>3.6604475684890021</v>
      </c>
      <c r="V355" s="158">
        <f t="shared" si="855"/>
        <v>3.7941334254445946</v>
      </c>
      <c r="W355" s="180">
        <f t="shared" si="871"/>
        <v>3.8124984129402497</v>
      </c>
      <c r="X355" s="181"/>
      <c r="Y355" s="147"/>
      <c r="Z355" s="127"/>
    </row>
    <row r="356" spans="1:26" x14ac:dyDescent="0.25">
      <c r="A356" s="133" t="s">
        <v>7</v>
      </c>
      <c r="B356" s="158">
        <f t="shared" ref="B356:F356" si="884">+B195/B34</f>
        <v>3.8383197627442764</v>
      </c>
      <c r="C356" s="158">
        <f t="shared" si="884"/>
        <v>4.0623438280859574</v>
      </c>
      <c r="D356" s="158">
        <f t="shared" si="884"/>
        <v>3.9804958888393145</v>
      </c>
      <c r="E356" s="158">
        <f t="shared" si="884"/>
        <v>3.663033836015714</v>
      </c>
      <c r="F356" s="158">
        <f t="shared" si="884"/>
        <v>2.7539321584233467</v>
      </c>
      <c r="G356" s="158">
        <f t="shared" si="872"/>
        <v>3.537488823604547</v>
      </c>
      <c r="H356" s="158">
        <f t="shared" ref="H356" si="885">+H195/H34</f>
        <v>3.9295139918682405</v>
      </c>
      <c r="I356" s="158">
        <f t="shared" si="860"/>
        <v>4.1690682036503359</v>
      </c>
      <c r="J356" s="180">
        <f t="shared" si="873"/>
        <v>4.0709954350344075</v>
      </c>
      <c r="K356" s="181"/>
      <c r="L356" s="127"/>
      <c r="M356" s="2"/>
      <c r="N356" s="133" t="s">
        <v>7</v>
      </c>
      <c r="O356" s="158">
        <f t="shared" ref="O356:U356" si="886">+O195/O34</f>
        <v>3.4989698278240113</v>
      </c>
      <c r="P356" s="158">
        <f t="shared" si="886"/>
        <v>4.0979568101921604</v>
      </c>
      <c r="Q356" s="158">
        <f t="shared" si="886"/>
        <v>4.1837794553694216</v>
      </c>
      <c r="R356" s="158">
        <f t="shared" si="886"/>
        <v>3.8942764784179502</v>
      </c>
      <c r="S356" s="158">
        <f t="shared" si="886"/>
        <v>3.1289644431730981</v>
      </c>
      <c r="T356" s="158">
        <f t="shared" si="886"/>
        <v>3.1763844532246055</v>
      </c>
      <c r="U356" s="158">
        <f t="shared" si="886"/>
        <v>3.6915132452201052</v>
      </c>
      <c r="V356" s="158">
        <f t="shared" si="855"/>
        <v>3.8047607350748622</v>
      </c>
      <c r="W356" s="180">
        <f t="shared" si="871"/>
        <v>3.8106998444790037</v>
      </c>
      <c r="X356" s="181"/>
      <c r="Y356" s="147"/>
      <c r="Z356" s="127"/>
    </row>
    <row r="357" spans="1:26" x14ac:dyDescent="0.25">
      <c r="A357" s="133" t="s">
        <v>8</v>
      </c>
      <c r="B357" s="158">
        <f t="shared" ref="B357:F357" si="887">+B196/B35</f>
        <v>4.0105729389912845</v>
      </c>
      <c r="C357" s="158">
        <f t="shared" si="887"/>
        <v>4.1924372894047179</v>
      </c>
      <c r="D357" s="158">
        <f t="shared" si="887"/>
        <v>4.2579153042507381</v>
      </c>
      <c r="E357" s="158">
        <f t="shared" si="887"/>
        <v>3.9786459195497441</v>
      </c>
      <c r="F357" s="158">
        <f t="shared" si="887"/>
        <v>2.6615796884225826</v>
      </c>
      <c r="G357" s="158">
        <f t="shared" si="872"/>
        <v>3.3722576079263979</v>
      </c>
      <c r="H357" s="158">
        <f>+H196/H35</f>
        <v>3.8417205510261456</v>
      </c>
      <c r="I357" s="158">
        <f t="shared" si="860"/>
        <v>3.899647887323944</v>
      </c>
      <c r="J357" s="180">
        <f t="shared" si="873"/>
        <v>3.9335446077019114</v>
      </c>
      <c r="K357" s="181"/>
      <c r="L357" s="127"/>
      <c r="M357" s="2"/>
      <c r="N357" s="133" t="s">
        <v>8</v>
      </c>
      <c r="O357" s="158">
        <f t="shared" ref="O357:U357" si="888">+O196/O35</f>
        <v>3.5944966988932667</v>
      </c>
      <c r="P357" s="158">
        <f t="shared" si="888"/>
        <v>4.1111382225947111</v>
      </c>
      <c r="Q357" s="158">
        <f t="shared" si="888"/>
        <v>4.1885250202599114</v>
      </c>
      <c r="R357" s="158">
        <f t="shared" si="888"/>
        <v>3.8738228667167371</v>
      </c>
      <c r="S357" s="158">
        <f t="shared" si="888"/>
        <v>3.0396569551730428</v>
      </c>
      <c r="T357" s="158">
        <f t="shared" si="888"/>
        <v>3.2409885227378923</v>
      </c>
      <c r="U357" s="158">
        <f t="shared" si="888"/>
        <v>3.731370048156831</v>
      </c>
      <c r="V357" s="158">
        <f t="shared" si="855"/>
        <v>3.8073579533828701</v>
      </c>
      <c r="W357" s="180">
        <f t="shared" si="871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889">+B197/B36</f>
        <v>4.1620879120879115</v>
      </c>
      <c r="C358" s="158">
        <f t="shared" si="889"/>
        <v>4.4688275434243172</v>
      </c>
      <c r="D358" s="158">
        <f t="shared" si="889"/>
        <v>3.7323388080040161</v>
      </c>
      <c r="E358" s="158">
        <f t="shared" si="889"/>
        <v>3.4651853948485707</v>
      </c>
      <c r="F358" s="158">
        <f t="shared" si="889"/>
        <v>3.4019865614957641</v>
      </c>
      <c r="G358" s="158">
        <f t="shared" si="872"/>
        <v>3.4618515933938125</v>
      </c>
      <c r="H358" s="158">
        <f>+H197/H36</f>
        <v>3.7822841667217122</v>
      </c>
      <c r="I358" s="158">
        <f t="shared" si="860"/>
        <v>3.5828460038986352</v>
      </c>
      <c r="J358" s="180">
        <f t="shared" si="873"/>
        <v>4.314113597246128</v>
      </c>
      <c r="K358" s="181"/>
      <c r="L358" s="127"/>
      <c r="M358" s="2"/>
      <c r="N358" s="133" t="s">
        <v>9</v>
      </c>
      <c r="O358" s="158">
        <f t="shared" ref="O358:U358" si="890">+O197/O36</f>
        <v>3.7369851648646861</v>
      </c>
      <c r="P358" s="158">
        <f t="shared" si="890"/>
        <v>4.1318541352256801</v>
      </c>
      <c r="Q358" s="158">
        <f t="shared" si="890"/>
        <v>4.1307194844930697</v>
      </c>
      <c r="R358" s="158">
        <f t="shared" si="890"/>
        <v>3.8518804933084789</v>
      </c>
      <c r="S358" s="158">
        <f t="shared" si="890"/>
        <v>3.0350753480111781</v>
      </c>
      <c r="T358" s="158">
        <f t="shared" si="890"/>
        <v>3.2476582707616588</v>
      </c>
      <c r="U358" s="158">
        <f t="shared" si="890"/>
        <v>3.7571078745653419</v>
      </c>
      <c r="V358" s="158">
        <f t="shared" si="855"/>
        <v>3.7925435139475763</v>
      </c>
      <c r="W358" s="180">
        <f t="shared" si="871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891">+B198/B37</f>
        <v>3.7369851648646861</v>
      </c>
      <c r="C359" s="182">
        <f t="shared" si="891"/>
        <v>4.1318541352256801</v>
      </c>
      <c r="D359" s="182">
        <f t="shared" si="891"/>
        <v>4.1307194844930697</v>
      </c>
      <c r="E359" s="182">
        <f t="shared" si="891"/>
        <v>3.8518804933084789</v>
      </c>
      <c r="F359" s="182">
        <f t="shared" si="891"/>
        <v>3.0350753480111781</v>
      </c>
      <c r="G359" s="182">
        <f t="shared" si="872"/>
        <v>3.2476582707616588</v>
      </c>
      <c r="H359" s="182">
        <f t="shared" ref="H359" si="892">+H198/H37</f>
        <v>3.7571078745653419</v>
      </c>
      <c r="I359" s="182">
        <f t="shared" ref="I359:J359" si="893">+I198/I37</f>
        <v>3.7925435139475763</v>
      </c>
      <c r="J359" s="183">
        <f t="shared" si="893"/>
        <v>3.8679304343471017</v>
      </c>
      <c r="K359" s="183"/>
      <c r="L359" s="137"/>
      <c r="M359" s="3"/>
      <c r="N359" s="134" t="s">
        <v>14</v>
      </c>
      <c r="O359" s="182">
        <f t="shared" ref="O359:W359" si="894">+O198/O37</f>
        <v>3.3742857915846103</v>
      </c>
      <c r="P359" s="182">
        <f t="shared" si="894"/>
        <v>4.0350845216757882</v>
      </c>
      <c r="Q359" s="182">
        <f t="shared" si="894"/>
        <v>4.175586625954895</v>
      </c>
      <c r="R359" s="182">
        <f t="shared" si="894"/>
        <v>4.0022006979219871</v>
      </c>
      <c r="S359" s="182">
        <f t="shared" si="894"/>
        <v>3.3429532479555628</v>
      </c>
      <c r="T359" s="182">
        <f t="shared" si="894"/>
        <v>3.0560194311608222</v>
      </c>
      <c r="U359" s="182">
        <f t="shared" si="894"/>
        <v>3.5791317287920372</v>
      </c>
      <c r="V359" s="182">
        <f t="shared" si="894"/>
        <v>3.7745270068205823</v>
      </c>
      <c r="W359" s="183">
        <f t="shared" si="894"/>
        <v>3.8206538773529597</v>
      </c>
      <c r="X359" s="183">
        <f t="shared" ref="X359" si="895">+X198/X37</f>
        <v>3.9206602569698177</v>
      </c>
      <c r="Y359" s="149">
        <f>+X359/W359-1</f>
        <v>2.6175200064483484E-2</v>
      </c>
      <c r="Z359" s="156">
        <f>+POWER(X359/S359,0.2)-1</f>
        <v>3.2394735996709834E-2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896">+C359/C$485</f>
        <v>1.0953826320026254</v>
      </c>
      <c r="D360" s="138">
        <f t="shared" ref="D360" si="897">+D359/D$485</f>
        <v>1.0857873771261988</v>
      </c>
      <c r="E360" s="138">
        <f t="shared" ref="E360" si="898">+E359/E$485</f>
        <v>1.1327413599129088</v>
      </c>
      <c r="F360" s="138">
        <f t="shared" ref="F360:G360" si="899">+F359/F$485</f>
        <v>1.1038157479840445</v>
      </c>
      <c r="G360" s="138">
        <f t="shared" si="899"/>
        <v>1.0617581568943601</v>
      </c>
      <c r="H360" s="138">
        <f t="shared" ref="H360" si="900">+H359/H$485</f>
        <v>1.1565695024217679</v>
      </c>
      <c r="I360" s="138">
        <f t="shared" ref="I360:J360" si="901">+I359/I$485</f>
        <v>1.0729621619303742</v>
      </c>
      <c r="J360" s="139">
        <f t="shared" si="901"/>
        <v>1.0893925328430116</v>
      </c>
      <c r="K360" s="139"/>
      <c r="L360" s="140"/>
      <c r="M360" s="3"/>
      <c r="N360" s="135" t="s">
        <v>15</v>
      </c>
      <c r="O360" s="138">
        <f t="shared" ref="O360" si="902">+O359/O$485</f>
        <v>0.98975412042686783</v>
      </c>
      <c r="P360" s="138">
        <f t="shared" ref="P360" si="903">+P359/P$485</f>
        <v>1.11594817154516</v>
      </c>
      <c r="Q360" s="138">
        <f t="shared" ref="Q360" si="904">+Q359/Q$485</f>
        <v>1.0820065899905742</v>
      </c>
      <c r="R360" s="138">
        <f t="shared" ref="R360" si="905">+R359/R$485</f>
        <v>1.1148475919317855</v>
      </c>
      <c r="S360" s="138">
        <f t="shared" ref="S360:W360" si="906">+S359/S$485</f>
        <v>1.113595365878016</v>
      </c>
      <c r="T360" s="138">
        <f t="shared" si="906"/>
        <v>1.0546878893318605</v>
      </c>
      <c r="U360" s="138">
        <f t="shared" si="906"/>
        <v>1.1374790681513864</v>
      </c>
      <c r="V360" s="138">
        <f t="shared" si="906"/>
        <v>1.1086451919079536</v>
      </c>
      <c r="W360" s="139">
        <f t="shared" si="906"/>
        <v>1.0779389398926944</v>
      </c>
      <c r="X360" s="139">
        <f t="shared" ref="X360" si="907">+X359/X$485</f>
        <v>1.098965952504126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908">+D359/C359-1</f>
        <v>-2.7461054903588078E-4</v>
      </c>
      <c r="E361" s="142">
        <f t="shared" ref="E361" si="909">+E359/D359-1</f>
        <v>-6.7503734453856379E-2</v>
      </c>
      <c r="F361" s="142">
        <f t="shared" ref="F361:J361" si="910">+F359/E359-1</f>
        <v>-0.21205360517187954</v>
      </c>
      <c r="G361" s="142">
        <f t="shared" si="910"/>
        <v>7.0042057733354701E-2</v>
      </c>
      <c r="H361" s="142">
        <f t="shared" si="910"/>
        <v>0.15686675177317966</v>
      </c>
      <c r="I361" s="142">
        <f t="shared" si="910"/>
        <v>9.4316268165002271E-3</v>
      </c>
      <c r="J361" s="143">
        <f t="shared" si="910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911">+Q359/P359-1</f>
        <v>3.4820114305996075E-2</v>
      </c>
      <c r="R361" s="142">
        <f t="shared" ref="R361" si="912">+R359/Q359-1</f>
        <v>-4.1523729134288367E-2</v>
      </c>
      <c r="S361" s="142">
        <f t="shared" ref="S361" si="913">+S359/R359-1</f>
        <v>-0.16472123707057396</v>
      </c>
      <c r="T361" s="142">
        <f t="shared" ref="T361" si="914">+T359/S359-1</f>
        <v>-8.5832434829957505E-2</v>
      </c>
      <c r="U361" s="142">
        <f t="shared" ref="U361" si="915">+U359/T359-1</f>
        <v>0.17117440167339248</v>
      </c>
      <c r="V361" s="142">
        <f t="shared" ref="V361" si="916">+V359/U359-1</f>
        <v>5.4592927233357624E-2</v>
      </c>
      <c r="W361" s="143">
        <f t="shared" ref="W361:X361" si="917">+W359/V359-1</f>
        <v>1.2220569742652732E-2</v>
      </c>
      <c r="X361" s="143">
        <f t="shared" si="917"/>
        <v>2.6175200064483484E-2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47" t="s">
        <v>86</v>
      </c>
      <c r="B363" s="348"/>
      <c r="C363" s="348"/>
      <c r="D363" s="348"/>
      <c r="E363" s="348"/>
      <c r="F363" s="348"/>
      <c r="G363" s="348"/>
      <c r="H363" s="348"/>
      <c r="I363" s="348"/>
      <c r="J363" s="348"/>
      <c r="K363" s="348"/>
      <c r="L363" s="349"/>
      <c r="M363" s="2"/>
      <c r="N363" s="347" t="s">
        <v>87</v>
      </c>
      <c r="O363" s="348"/>
      <c r="P363" s="348"/>
      <c r="Q363" s="348"/>
      <c r="R363" s="348"/>
      <c r="S363" s="348"/>
      <c r="T363" s="348"/>
      <c r="U363" s="348"/>
      <c r="V363" s="348"/>
      <c r="W363" s="348"/>
      <c r="X363" s="348"/>
      <c r="Y363" s="348"/>
      <c r="Z363" s="34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918">+C364+1</f>
        <v>2018</v>
      </c>
      <c r="E364" s="129">
        <f t="shared" ref="E364" si="919">+D364+1</f>
        <v>2019</v>
      </c>
      <c r="F364" s="129">
        <f t="shared" ref="F364" si="920">+E364+1</f>
        <v>2020</v>
      </c>
      <c r="G364" s="129">
        <f t="shared" ref="G364" si="921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922">+P364+1</f>
        <v>2018</v>
      </c>
      <c r="R364" s="129">
        <f t="shared" ref="R364" si="923">+Q364+1</f>
        <v>2019</v>
      </c>
      <c r="S364" s="129">
        <f t="shared" ref="S364" si="924">+R364+1</f>
        <v>2020</v>
      </c>
      <c r="T364" s="129">
        <f t="shared" ref="T364" si="925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926">+C204/C43</f>
        <v>3.0088987764182429</v>
      </c>
      <c r="D365" s="158">
        <f t="shared" si="926"/>
        <v>3.3797752808988766</v>
      </c>
      <c r="E365" s="158">
        <f t="shared" si="926"/>
        <v>0.45038705137227303</v>
      </c>
      <c r="F365" s="158">
        <f t="shared" si="926"/>
        <v>1.5001198178768271</v>
      </c>
      <c r="G365" s="158">
        <f t="shared" si="926"/>
        <v>0.95307917888563054</v>
      </c>
      <c r="H365" s="158">
        <f t="shared" si="926"/>
        <v>1.9687367976341361</v>
      </c>
      <c r="I365" s="158">
        <f t="shared" ref="I365:J365" si="927">+I204/I43</f>
        <v>2.8234501347708894</v>
      </c>
      <c r="J365" s="180">
        <f t="shared" si="927"/>
        <v>2.9390681003584231</v>
      </c>
      <c r="K365" s="181">
        <f t="shared" ref="K365" si="928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929">+P204/P43</f>
        <v>3.0684303311163261</v>
      </c>
      <c r="Q365" s="158">
        <f t="shared" si="929"/>
        <v>3.3072416217483007</v>
      </c>
      <c r="R365" s="158">
        <f t="shared" si="929"/>
        <v>1.7256415287679594</v>
      </c>
      <c r="S365" s="158">
        <f t="shared" si="929"/>
        <v>0.44945540975974319</v>
      </c>
      <c r="T365" s="158">
        <f t="shared" si="929"/>
        <v>1.2155857620089854</v>
      </c>
      <c r="U365" s="158">
        <f t="shared" si="929"/>
        <v>1.775777414075286</v>
      </c>
      <c r="V365" s="158">
        <f t="shared" si="929"/>
        <v>2.2224794676321737</v>
      </c>
      <c r="W365" s="180">
        <f t="shared" si="929"/>
        <v>3.0067490191920272</v>
      </c>
      <c r="X365" s="181">
        <f t="shared" ref="X365" si="930">+X204/X43</f>
        <v>3.4719164727341338</v>
      </c>
      <c r="Y365" s="147">
        <f t="shared" ref="Y365:Y367" si="931">+X365/W365-1</f>
        <v>0.154707775931064</v>
      </c>
      <c r="Z365" s="127">
        <f t="shared" ref="Z365:Z367" si="932">+POWER(X365/S365,0.2)-1</f>
        <v>0.50513873059582659</v>
      </c>
    </row>
    <row r="366" spans="1:26" x14ac:dyDescent="0.25">
      <c r="A366" s="133" t="s">
        <v>11</v>
      </c>
      <c r="B366" s="158">
        <f t="shared" ref="B366:G366" si="933">+B205/B44</f>
        <v>2.6951333541119373</v>
      </c>
      <c r="C366" s="158">
        <f t="shared" si="933"/>
        <v>3.0464584920030466</v>
      </c>
      <c r="D366" s="158">
        <f t="shared" si="933"/>
        <v>3.4738485558157692</v>
      </c>
      <c r="E366" s="158">
        <f t="shared" si="933"/>
        <v>0.39689975300229968</v>
      </c>
      <c r="F366" s="158">
        <f t="shared" si="933"/>
        <v>0.91633466135458164</v>
      </c>
      <c r="G366" s="158">
        <f t="shared" si="933"/>
        <v>1.4658782951465879</v>
      </c>
      <c r="H366" s="158">
        <f t="shared" si="926"/>
        <v>2.0341331530922608</v>
      </c>
      <c r="I366" s="158">
        <f t="shared" ref="I366:J376" si="934">+I205/I44</f>
        <v>2.9729729729729732</v>
      </c>
      <c r="J366" s="180">
        <f t="shared" si="934"/>
        <v>3.0616740088105727</v>
      </c>
      <c r="K366" s="181">
        <f t="shared" ref="K366:K367" si="935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936">+O205/O44</f>
        <v>3.097277798441092</v>
      </c>
      <c r="P366" s="158">
        <f t="shared" si="936"/>
        <v>3.0948145103278182</v>
      </c>
      <c r="Q366" s="158">
        <f t="shared" si="936"/>
        <v>3.333333333333333</v>
      </c>
      <c r="R366" s="158">
        <f t="shared" si="936"/>
        <v>1.4089157952669236</v>
      </c>
      <c r="S366" s="158">
        <f t="shared" si="936"/>
        <v>0.46980378670640605</v>
      </c>
      <c r="T366" s="158">
        <f t="shared" si="936"/>
        <v>1.2548356255056261</v>
      </c>
      <c r="U366" s="158">
        <f t="shared" si="936"/>
        <v>1.8160441223319532</v>
      </c>
      <c r="V366" s="158">
        <f t="shared" si="929"/>
        <v>2.259512193173713</v>
      </c>
      <c r="W366" s="180">
        <f t="shared" si="929"/>
        <v>3.0106831318970046</v>
      </c>
      <c r="X366" s="181">
        <f t="shared" ref="X366:X367" si="937">+X205/X44</f>
        <v>3.543617227351973</v>
      </c>
      <c r="Y366" s="147">
        <f t="shared" si="931"/>
        <v>0.17701434262833615</v>
      </c>
      <c r="Z366" s="127">
        <f t="shared" si="932"/>
        <v>0.49798014927853651</v>
      </c>
    </row>
    <row r="367" spans="1:26" x14ac:dyDescent="0.25">
      <c r="A367" s="133" t="s">
        <v>0</v>
      </c>
      <c r="B367" s="158">
        <f t="shared" ref="B367:G367" si="938">+B206/B45</f>
        <v>3.1577278731836196</v>
      </c>
      <c r="C367" s="158">
        <f t="shared" si="938"/>
        <v>2.9478138222849082</v>
      </c>
      <c r="D367" s="158">
        <f t="shared" si="938"/>
        <v>3.7866666666666666</v>
      </c>
      <c r="E367" s="158">
        <f t="shared" si="938"/>
        <v>0.37147482320865638</v>
      </c>
      <c r="F367" s="158">
        <f t="shared" si="938"/>
        <v>1.5316600114090131</v>
      </c>
      <c r="G367" s="158">
        <f t="shared" si="938"/>
        <v>1.5232541601479164</v>
      </c>
      <c r="H367" s="158">
        <f t="shared" si="926"/>
        <v>1.7562701101664218</v>
      </c>
      <c r="I367" s="158">
        <f t="shared" si="934"/>
        <v>2.7134404057480981</v>
      </c>
      <c r="J367" s="180">
        <f t="shared" si="934"/>
        <v>4.0909090909090908</v>
      </c>
      <c r="K367" s="181">
        <f t="shared" si="935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939">+O206/O45</f>
        <v>3.0880954046886044</v>
      </c>
      <c r="P367" s="158">
        <f t="shared" si="939"/>
        <v>3.0742313999273376</v>
      </c>
      <c r="Q367" s="158">
        <f t="shared" si="939"/>
        <v>3.4221465417939601</v>
      </c>
      <c r="R367" s="158">
        <f t="shared" si="939"/>
        <v>1.1724055044768946</v>
      </c>
      <c r="S367" s="158">
        <f t="shared" si="939"/>
        <v>0.50258078391311367</v>
      </c>
      <c r="T367" s="158">
        <f t="shared" si="939"/>
        <v>1.2676548734442734</v>
      </c>
      <c r="U367" s="158">
        <f t="shared" si="939"/>
        <v>1.853175987085969</v>
      </c>
      <c r="V367" s="158">
        <f t="shared" si="929"/>
        <v>2.3834581393779932</v>
      </c>
      <c r="W367" s="180">
        <f t="shared" si="929"/>
        <v>3.0924324636342648</v>
      </c>
      <c r="X367" s="181">
        <f t="shared" si="937"/>
        <v>3.5340262796626787</v>
      </c>
      <c r="Y367" s="147">
        <f t="shared" si="931"/>
        <v>0.14279820860160264</v>
      </c>
      <c r="Z367" s="127">
        <f t="shared" si="932"/>
        <v>0.47710979844889279</v>
      </c>
    </row>
    <row r="368" spans="1:26" x14ac:dyDescent="0.25">
      <c r="A368" s="133" t="s">
        <v>1</v>
      </c>
      <c r="B368" s="158">
        <f t="shared" ref="B368:H368" si="940">+B207/B46</f>
        <v>2.658599739661673</v>
      </c>
      <c r="C368" s="158">
        <f t="shared" si="940"/>
        <v>3.1627906976744189</v>
      </c>
      <c r="D368" s="158">
        <f t="shared" si="940"/>
        <v>3.4922766957689726</v>
      </c>
      <c r="E368" s="158">
        <f t="shared" si="940"/>
        <v>0.47238068735216365</v>
      </c>
      <c r="F368" s="158">
        <f t="shared" si="940"/>
        <v>1.2892500923531585</v>
      </c>
      <c r="G368" s="158">
        <f t="shared" si="940"/>
        <v>1.8614379084967319</v>
      </c>
      <c r="H368" s="158">
        <f t="shared" si="940"/>
        <v>2.9529175818928466</v>
      </c>
      <c r="I368" s="158">
        <f t="shared" si="934"/>
        <v>3.1791156462585035</v>
      </c>
      <c r="J368" s="180">
        <f t="shared" si="934"/>
        <v>5.0960978450786261</v>
      </c>
      <c r="K368" s="181"/>
      <c r="L368" s="127"/>
      <c r="M368" s="2"/>
      <c r="N368" s="133" t="s">
        <v>1</v>
      </c>
      <c r="O368" s="158">
        <f t="shared" ref="O368:U368" si="941">+O207/O46</f>
        <v>3.0991299987089267</v>
      </c>
      <c r="P368" s="158">
        <f t="shared" si="941"/>
        <v>3.1432600131903454</v>
      </c>
      <c r="Q368" s="158">
        <f t="shared" si="941"/>
        <v>3.4500405350628292</v>
      </c>
      <c r="R368" s="158">
        <f t="shared" si="941"/>
        <v>1.0022781910407934</v>
      </c>
      <c r="S368" s="158">
        <f t="shared" si="941"/>
        <v>0.53614337204645568</v>
      </c>
      <c r="T368" s="158">
        <f t="shared" si="941"/>
        <v>1.2984654109638021</v>
      </c>
      <c r="U368" s="158">
        <f t="shared" si="941"/>
        <v>1.9023899850720725</v>
      </c>
      <c r="V368" s="158">
        <f t="shared" si="929"/>
        <v>2.3826112823821237</v>
      </c>
      <c r="W368" s="180">
        <f t="shared" si="929"/>
        <v>3.2809743327073022</v>
      </c>
      <c r="X368" s="181"/>
      <c r="Y368" s="147"/>
      <c r="Z368" s="127"/>
    </row>
    <row r="369" spans="1:26" x14ac:dyDescent="0.25">
      <c r="A369" s="133" t="s">
        <v>2</v>
      </c>
      <c r="B369" s="158">
        <f t="shared" ref="B369:H369" si="942">+B208/B47</f>
        <v>3.3824441170392197</v>
      </c>
      <c r="C369" s="158">
        <f t="shared" si="942"/>
        <v>3.2817337461300307</v>
      </c>
      <c r="D369" s="158">
        <f t="shared" si="942"/>
        <v>3.0403905903240127</v>
      </c>
      <c r="E369" s="158">
        <f t="shared" si="942"/>
        <v>0.61282628859149335</v>
      </c>
      <c r="F369" s="158">
        <f t="shared" si="942"/>
        <v>1.0673807448000996</v>
      </c>
      <c r="G369" s="158">
        <f t="shared" si="942"/>
        <v>1.1410880141530297</v>
      </c>
      <c r="H369" s="158">
        <f t="shared" si="942"/>
        <v>3.0910567953198518</v>
      </c>
      <c r="I369" s="158">
        <f t="shared" si="934"/>
        <v>2.981987991994663</v>
      </c>
      <c r="J369" s="180">
        <f t="shared" ref="J369" si="943">+J208/J47</f>
        <v>3.1374243733794294</v>
      </c>
      <c r="K369" s="181"/>
      <c r="L369" s="127"/>
      <c r="M369" s="2"/>
      <c r="N369" s="133" t="s">
        <v>2</v>
      </c>
      <c r="O369" s="158">
        <f t="shared" ref="O369:U369" si="944">+O208/O47</f>
        <v>3.0923689648758415</v>
      </c>
      <c r="P369" s="158">
        <f t="shared" si="944"/>
        <v>3.1355782728665367</v>
      </c>
      <c r="Q369" s="158">
        <f t="shared" si="944"/>
        <v>3.415954002995603</v>
      </c>
      <c r="R369" s="158">
        <f t="shared" si="944"/>
        <v>0.88882869216599847</v>
      </c>
      <c r="S369" s="158">
        <f t="shared" si="944"/>
        <v>0.55955169582802966</v>
      </c>
      <c r="T369" s="158">
        <f t="shared" si="944"/>
        <v>1.3099381143065161</v>
      </c>
      <c r="U369" s="158">
        <f t="shared" si="944"/>
        <v>2.0806174212006292</v>
      </c>
      <c r="V369" s="158">
        <f t="shared" si="929"/>
        <v>2.367629209317899</v>
      </c>
      <c r="W369" s="180">
        <f t="shared" ref="W369:W376" si="945">+W208/W47</f>
        <v>3.2973474955017705</v>
      </c>
      <c r="X369" s="181"/>
      <c r="Y369" s="147"/>
      <c r="Z369" s="127"/>
    </row>
    <row r="370" spans="1:26" x14ac:dyDescent="0.25">
      <c r="A370" s="133" t="s">
        <v>3</v>
      </c>
      <c r="B370" s="158">
        <f t="shared" ref="B370:H377" si="946">+B209/B48</f>
        <v>2.9457872277689958</v>
      </c>
      <c r="C370" s="158">
        <f t="shared" si="946"/>
        <v>3.5198135198135199</v>
      </c>
      <c r="D370" s="158">
        <f t="shared" si="946"/>
        <v>3.3831131533601377</v>
      </c>
      <c r="E370" s="158">
        <f t="shared" si="946"/>
        <v>0.4396163965034372</v>
      </c>
      <c r="F370" s="158">
        <f t="shared" si="946"/>
        <v>0.82738944365192579</v>
      </c>
      <c r="G370" s="158">
        <f t="shared" si="946"/>
        <v>2.9359745313052703</v>
      </c>
      <c r="H370" s="158">
        <f t="shared" si="946"/>
        <v>1.3058149466551887</v>
      </c>
      <c r="I370" s="158">
        <f t="shared" si="934"/>
        <v>3.7709497206703912</v>
      </c>
      <c r="J370" s="180">
        <f t="shared" ref="J370:J376" si="947">+J209/J48</f>
        <v>3.4523809523809526</v>
      </c>
      <c r="K370" s="181"/>
      <c r="L370" s="127"/>
      <c r="M370" s="2"/>
      <c r="N370" s="133" t="s">
        <v>3</v>
      </c>
      <c r="O370" s="158">
        <f t="shared" ref="O370:U370" si="948">+O209/O48</f>
        <v>3.0763889334768222</v>
      </c>
      <c r="P370" s="158">
        <f t="shared" si="948"/>
        <v>3.1786121317294738</v>
      </c>
      <c r="Q370" s="158">
        <f t="shared" si="948"/>
        <v>3.4069311143681151</v>
      </c>
      <c r="R370" s="158">
        <f t="shared" si="948"/>
        <v>0.79466833444083962</v>
      </c>
      <c r="S370" s="158">
        <f t="shared" si="948"/>
        <v>0.58658067523990842</v>
      </c>
      <c r="T370" s="158">
        <f t="shared" si="948"/>
        <v>1.4403285729961905</v>
      </c>
      <c r="U370" s="158">
        <f t="shared" si="948"/>
        <v>1.9222685520117957</v>
      </c>
      <c r="V370" s="158">
        <f t="shared" si="929"/>
        <v>2.7242865369396068</v>
      </c>
      <c r="W370" s="180">
        <f t="shared" si="945"/>
        <v>3.2724123514304484</v>
      </c>
      <c r="X370" s="181"/>
      <c r="Y370" s="147"/>
      <c r="Z370" s="127"/>
    </row>
    <row r="371" spans="1:26" x14ac:dyDescent="0.25">
      <c r="A371" s="133" t="s">
        <v>4</v>
      </c>
      <c r="B371" s="158">
        <f t="shared" ref="B371:F371" si="949">+B210/B49</f>
        <v>3.2340896298740365</v>
      </c>
      <c r="C371" s="158">
        <f t="shared" si="949"/>
        <v>3.2635983263598329</v>
      </c>
      <c r="D371" s="158">
        <f t="shared" si="949"/>
        <v>3.51123595505618</v>
      </c>
      <c r="E371" s="158">
        <f t="shared" si="949"/>
        <v>0.32819760332599657</v>
      </c>
      <c r="F371" s="158">
        <f t="shared" si="949"/>
        <v>1.3090465400034861</v>
      </c>
      <c r="G371" s="158">
        <f t="shared" si="946"/>
        <v>1.1369435781117097</v>
      </c>
      <c r="H371" s="158">
        <f t="shared" ref="H371" si="950">+H210/H49</f>
        <v>2.7968776399824278</v>
      </c>
      <c r="I371" s="158">
        <f t="shared" si="934"/>
        <v>3.3119743692430914</v>
      </c>
      <c r="J371" s="180">
        <f t="shared" si="947"/>
        <v>2.2942779291553133</v>
      </c>
      <c r="K371" s="181"/>
      <c r="L371" s="127"/>
      <c r="M371" s="2"/>
      <c r="N371" s="133" t="s">
        <v>4</v>
      </c>
      <c r="O371" s="158">
        <f t="shared" ref="O371:U371" si="951">+O210/O49</f>
        <v>3.0244587391937334</v>
      </c>
      <c r="P371" s="158">
        <f t="shared" si="951"/>
        <v>3.1811327429517355</v>
      </c>
      <c r="Q371" s="158">
        <f t="shared" si="951"/>
        <v>3.4255095206200359</v>
      </c>
      <c r="R371" s="158">
        <f t="shared" si="951"/>
        <v>0.68420228589322063</v>
      </c>
      <c r="S371" s="158">
        <f t="shared" si="951"/>
        <v>0.66928684850026776</v>
      </c>
      <c r="T371" s="158">
        <f t="shared" si="951"/>
        <v>1.4351829297997762</v>
      </c>
      <c r="U371" s="158">
        <f t="shared" si="951"/>
        <v>2.0184163875139913</v>
      </c>
      <c r="V371" s="158">
        <f t="shared" si="929"/>
        <v>2.7836380520808972</v>
      </c>
      <c r="W371" s="180">
        <f t="shared" si="945"/>
        <v>3.1546545612835022</v>
      </c>
      <c r="X371" s="181"/>
      <c r="Y371" s="147"/>
      <c r="Z371" s="127"/>
    </row>
    <row r="372" spans="1:26" x14ac:dyDescent="0.25">
      <c r="A372" s="133" t="s">
        <v>5</v>
      </c>
      <c r="B372" s="158">
        <f t="shared" ref="B372:F372" si="952">+B211/B50</f>
        <v>3.4053803844687693</v>
      </c>
      <c r="C372" s="158">
        <f t="shared" si="952"/>
        <v>3.3319553534518396</v>
      </c>
      <c r="D372" s="158">
        <f t="shared" si="952"/>
        <v>2.1595680863827238</v>
      </c>
      <c r="E372" s="158">
        <f t="shared" si="952"/>
        <v>0.38094148601498601</v>
      </c>
      <c r="F372" s="158">
        <f t="shared" si="952"/>
        <v>1.2603092783505154</v>
      </c>
      <c r="G372" s="158">
        <f t="shared" si="946"/>
        <v>3.1978549252046289</v>
      </c>
      <c r="H372" s="158">
        <f t="shared" ref="H372" si="953">+H211/H50</f>
        <v>2.8849940386265929</v>
      </c>
      <c r="I372" s="158">
        <f t="shared" si="934"/>
        <v>2.2775919732441472</v>
      </c>
      <c r="J372" s="180">
        <f t="shared" si="947"/>
        <v>3.0630630630630629</v>
      </c>
      <c r="K372" s="181"/>
      <c r="L372" s="127"/>
      <c r="M372" s="2"/>
      <c r="N372" s="133" t="s">
        <v>5</v>
      </c>
      <c r="O372" s="158">
        <f t="shared" ref="O372:U372" si="954">+O211/O50</f>
        <v>3.0400120142190095</v>
      </c>
      <c r="P372" s="158">
        <f t="shared" si="954"/>
        <v>3.1790889872566876</v>
      </c>
      <c r="Q372" s="158">
        <f t="shared" si="954"/>
        <v>3.1655595298926937</v>
      </c>
      <c r="R372" s="158">
        <f t="shared" si="954"/>
        <v>0.58945716740762877</v>
      </c>
      <c r="S372" s="158">
        <f t="shared" si="954"/>
        <v>0.76162433821836883</v>
      </c>
      <c r="T372" s="158">
        <f t="shared" si="954"/>
        <v>1.5677079701554981</v>
      </c>
      <c r="U372" s="158">
        <f t="shared" si="954"/>
        <v>1.9712637137800033</v>
      </c>
      <c r="V372" s="158">
        <f t="shared" si="929"/>
        <v>2.7075967168748161</v>
      </c>
      <c r="W372" s="180">
        <f t="shared" si="945"/>
        <v>3.330072666294019</v>
      </c>
      <c r="X372" s="181"/>
      <c r="Y372" s="147"/>
      <c r="Z372" s="127"/>
    </row>
    <row r="373" spans="1:26" x14ac:dyDescent="0.25">
      <c r="A373" s="133" t="s">
        <v>6</v>
      </c>
      <c r="B373" s="158">
        <f t="shared" ref="B373:F373" si="955">+B212/B51</f>
        <v>3.2491201316664267</v>
      </c>
      <c r="C373" s="158">
        <f t="shared" si="955"/>
        <v>3.3273782938811971</v>
      </c>
      <c r="D373" s="158">
        <f t="shared" si="955"/>
        <v>2.4310872894333846</v>
      </c>
      <c r="E373" s="158">
        <f t="shared" si="955"/>
        <v>0.35516093229744727</v>
      </c>
      <c r="F373" s="158">
        <f t="shared" si="955"/>
        <v>2.0245120290512939</v>
      </c>
      <c r="G373" s="158">
        <f t="shared" si="946"/>
        <v>3.5573122529644272</v>
      </c>
      <c r="H373" s="158">
        <f t="shared" ref="H373" si="956">+H212/H51</f>
        <v>2.4120964783565659</v>
      </c>
      <c r="I373" s="158">
        <f t="shared" si="934"/>
        <v>3.2243296272073247</v>
      </c>
      <c r="J373" s="180">
        <f t="shared" si="947"/>
        <v>2.204724409448819</v>
      </c>
      <c r="K373" s="181"/>
      <c r="L373" s="127"/>
      <c r="M373" s="2"/>
      <c r="N373" s="133" t="s">
        <v>6</v>
      </c>
      <c r="O373" s="158">
        <f t="shared" ref="O373:U373" si="957">+O212/O51</f>
        <v>3.0570049499405747</v>
      </c>
      <c r="P373" s="158">
        <f t="shared" si="957"/>
        <v>3.1869554903400426</v>
      </c>
      <c r="Q373" s="158">
        <f t="shared" si="957"/>
        <v>3.0699585027455254</v>
      </c>
      <c r="R373" s="158">
        <f t="shared" si="957"/>
        <v>0.53323628973008608</v>
      </c>
      <c r="S373" s="158">
        <f t="shared" si="957"/>
        <v>0.88282725401574491</v>
      </c>
      <c r="T373" s="158">
        <f t="shared" si="957"/>
        <v>1.6396399614244384</v>
      </c>
      <c r="U373" s="158">
        <f t="shared" si="957"/>
        <v>1.8759757198135723</v>
      </c>
      <c r="V373" s="158">
        <f t="shared" si="929"/>
        <v>2.7708512192874197</v>
      </c>
      <c r="W373" s="180">
        <f t="shared" si="945"/>
        <v>3.2037634777831183</v>
      </c>
      <c r="X373" s="181"/>
      <c r="Y373" s="147"/>
      <c r="Z373" s="127"/>
    </row>
    <row r="374" spans="1:26" x14ac:dyDescent="0.25">
      <c r="A374" s="133" t="s">
        <v>7</v>
      </c>
      <c r="B374" s="158">
        <f t="shared" ref="B374:F374" si="958">+B213/B52</f>
        <v>2.9419575964756439</v>
      </c>
      <c r="C374" s="158">
        <f t="shared" si="958"/>
        <v>3.4852408078715693</v>
      </c>
      <c r="D374" s="158">
        <f t="shared" si="958"/>
        <v>1.7039902280130292</v>
      </c>
      <c r="E374" s="158">
        <f t="shared" si="958"/>
        <v>0.43910784437967298</v>
      </c>
      <c r="F374" s="158">
        <f t="shared" si="958"/>
        <v>1.3438560259625314</v>
      </c>
      <c r="G374" s="158">
        <f t="shared" si="946"/>
        <v>1.36992515309594</v>
      </c>
      <c r="H374" s="158">
        <f t="shared" ref="H374:H376" si="959">+H213/H52</f>
        <v>2.3590110671606062</v>
      </c>
      <c r="I374" s="158">
        <f t="shared" si="934"/>
        <v>3.0037546933667083</v>
      </c>
      <c r="J374" s="180">
        <f t="shared" si="947"/>
        <v>4.557501183151917</v>
      </c>
      <c r="K374" s="181"/>
      <c r="L374" s="127"/>
      <c r="M374" s="2"/>
      <c r="N374" s="133" t="s">
        <v>7</v>
      </c>
      <c r="O374" s="158">
        <f t="shared" ref="O374:U374" si="960">+O213/O52</f>
        <v>3.0177022918400702</v>
      </c>
      <c r="P374" s="158">
        <f t="shared" si="960"/>
        <v>3.2514090363115589</v>
      </c>
      <c r="Q374" s="158">
        <f t="shared" si="960"/>
        <v>2.7900737759892689</v>
      </c>
      <c r="R374" s="158">
        <f t="shared" si="960"/>
        <v>0.48700074756084311</v>
      </c>
      <c r="S374" s="158">
        <f t="shared" si="960"/>
        <v>1.0016304794078661</v>
      </c>
      <c r="T374" s="158">
        <f t="shared" si="960"/>
        <v>1.6548560346113683</v>
      </c>
      <c r="U374" s="158">
        <f t="shared" si="960"/>
        <v>1.9616172138567904</v>
      </c>
      <c r="V374" s="158">
        <f t="shared" si="929"/>
        <v>2.8277197740113</v>
      </c>
      <c r="W374" s="180">
        <f t="shared" si="945"/>
        <v>3.4146988591138228</v>
      </c>
      <c r="X374" s="181"/>
      <c r="Y374" s="147"/>
      <c r="Z374" s="127"/>
    </row>
    <row r="375" spans="1:26" x14ac:dyDescent="0.25">
      <c r="A375" s="133" t="s">
        <v>8</v>
      </c>
      <c r="B375" s="158">
        <f t="shared" ref="B375:F375" si="961">+B214/B53</f>
        <v>3.8178294573643412</v>
      </c>
      <c r="C375" s="158">
        <f t="shared" si="961"/>
        <v>3.7310606060606064</v>
      </c>
      <c r="D375" s="158">
        <f t="shared" si="961"/>
        <v>2.4572457245724575</v>
      </c>
      <c r="E375" s="158">
        <f t="shared" si="961"/>
        <v>0.41383876841582523</v>
      </c>
      <c r="F375" s="158">
        <f t="shared" si="961"/>
        <v>1.620213597290961</v>
      </c>
      <c r="G375" s="158">
        <f t="shared" si="946"/>
        <v>1.6591659165916595</v>
      </c>
      <c r="H375" s="158">
        <f t="shared" si="959"/>
        <v>3.0404217926186288</v>
      </c>
      <c r="I375" s="158">
        <f t="shared" si="934"/>
        <v>3.2125834127740709</v>
      </c>
      <c r="J375" s="180">
        <f t="shared" si="947"/>
        <v>3.5916542473919519</v>
      </c>
      <c r="K375" s="181"/>
      <c r="L375" s="127"/>
      <c r="M375" s="2"/>
      <c r="N375" s="133" t="s">
        <v>8</v>
      </c>
      <c r="O375" s="158">
        <f t="shared" ref="O375:U375" si="962">+O214/O53</f>
        <v>3.0581873664709947</v>
      </c>
      <c r="P375" s="158">
        <f t="shared" si="962"/>
        <v>3.2478080295339185</v>
      </c>
      <c r="Q375" s="158">
        <f t="shared" si="962"/>
        <v>2.7281816883302388</v>
      </c>
      <c r="R375" s="158">
        <f t="shared" si="962"/>
        <v>0.45537329670792032</v>
      </c>
      <c r="S375" s="158">
        <f t="shared" si="962"/>
        <v>1.1246883440681488</v>
      </c>
      <c r="T375" s="158">
        <f t="shared" si="962"/>
        <v>1.6576301818592571</v>
      </c>
      <c r="U375" s="158">
        <f t="shared" si="962"/>
        <v>2.0548959046763113</v>
      </c>
      <c r="V375" s="158">
        <f t="shared" si="929"/>
        <v>2.823873097904106</v>
      </c>
      <c r="W375" s="180">
        <f t="shared" si="945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963">+B215/B54</f>
        <v>3.2098765432098766</v>
      </c>
      <c r="C376" s="158">
        <f t="shared" si="963"/>
        <v>3.59375</v>
      </c>
      <c r="D376" s="158">
        <f t="shared" si="963"/>
        <v>1.2046524508446415</v>
      </c>
      <c r="E376" s="158">
        <f t="shared" si="963"/>
        <v>0.45641098216812909</v>
      </c>
      <c r="F376" s="158">
        <f t="shared" si="963"/>
        <v>0.99503983165489263</v>
      </c>
      <c r="G376" s="158">
        <f t="shared" si="946"/>
        <v>1.3593560145808019</v>
      </c>
      <c r="H376" s="158">
        <f t="shared" si="959"/>
        <v>1.8562644119907763</v>
      </c>
      <c r="I376" s="158">
        <f t="shared" si="934"/>
        <v>3.6830835117773018</v>
      </c>
      <c r="J376" s="180">
        <f t="shared" si="947"/>
        <v>3.0714285714285712</v>
      </c>
      <c r="K376" s="181"/>
      <c r="L376" s="127"/>
      <c r="M376" s="2"/>
      <c r="N376" s="133" t="s">
        <v>9</v>
      </c>
      <c r="O376" s="158">
        <f t="shared" ref="O376:U376" si="964">+O215/O54</f>
        <v>3.0469526104621854</v>
      </c>
      <c r="P376" s="158">
        <f t="shared" si="964"/>
        <v>3.2738664625980487</v>
      </c>
      <c r="Q376" s="158">
        <f t="shared" si="964"/>
        <v>2.3691045392833954</v>
      </c>
      <c r="R376" s="158">
        <f t="shared" si="964"/>
        <v>0.42422913336295787</v>
      </c>
      <c r="S376" s="158">
        <f t="shared" si="964"/>
        <v>1.2481122984653887</v>
      </c>
      <c r="T376" s="158">
        <f t="shared" si="964"/>
        <v>1.7037078927029727</v>
      </c>
      <c r="U376" s="158">
        <f t="shared" si="964"/>
        <v>2.1774555318872295</v>
      </c>
      <c r="V376" s="158">
        <f t="shared" si="929"/>
        <v>2.9965314612584515</v>
      </c>
      <c r="W376" s="180">
        <f t="shared" si="945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965">+B216/B55</f>
        <v>3.0469526104621854</v>
      </c>
      <c r="C377" s="182">
        <f t="shared" si="965"/>
        <v>3.2738664625980487</v>
      </c>
      <c r="D377" s="182">
        <f t="shared" si="965"/>
        <v>2.3691045392833954</v>
      </c>
      <c r="E377" s="182">
        <f t="shared" si="965"/>
        <v>0.42422913336295787</v>
      </c>
      <c r="F377" s="182">
        <f t="shared" si="965"/>
        <v>1.2481122984653887</v>
      </c>
      <c r="G377" s="182">
        <f t="shared" si="946"/>
        <v>1.7037078927029727</v>
      </c>
      <c r="H377" s="182">
        <f t="shared" ref="H377:I377" si="966">+H216/H55</f>
        <v>2.1774555318872295</v>
      </c>
      <c r="I377" s="182">
        <f t="shared" si="966"/>
        <v>2.9965314612584515</v>
      </c>
      <c r="J377" s="183">
        <f t="shared" ref="J377" si="967">+J216/J55</f>
        <v>3.4265946470838129</v>
      </c>
      <c r="K377" s="183"/>
      <c r="L377" s="137"/>
      <c r="M377" s="3"/>
      <c r="N377" s="134" t="s">
        <v>14</v>
      </c>
      <c r="O377" s="182">
        <f t="shared" ref="O377:W377" si="968">+O216/O55</f>
        <v>3.0688475624774196</v>
      </c>
      <c r="P377" s="182">
        <f t="shared" si="968"/>
        <v>3.1643425577358069</v>
      </c>
      <c r="Q377" s="182">
        <f t="shared" si="968"/>
        <v>3.0996315212906711</v>
      </c>
      <c r="R377" s="182">
        <f t="shared" si="968"/>
        <v>0.70502376077855633</v>
      </c>
      <c r="S377" s="182">
        <f t="shared" si="968"/>
        <v>0.66756017768427967</v>
      </c>
      <c r="T377" s="182">
        <f t="shared" si="968"/>
        <v>1.4346031150309626</v>
      </c>
      <c r="U377" s="182">
        <f t="shared" si="968"/>
        <v>1.9389093288929831</v>
      </c>
      <c r="V377" s="182">
        <f t="shared" si="968"/>
        <v>2.56678038501162</v>
      </c>
      <c r="W377" s="183">
        <f t="shared" si="968"/>
        <v>3.2381718897673228</v>
      </c>
      <c r="X377" s="183">
        <f t="shared" ref="X377" si="969">+X216/X55</f>
        <v>3.5160550950024629</v>
      </c>
      <c r="Y377" s="149">
        <f>+X377/W377-1</f>
        <v>8.5814840809796289E-2</v>
      </c>
      <c r="Z377" s="156">
        <f>+POWER(X377/S377,0.2)-1</f>
        <v>0.39416138623685604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970">+C377/C$485</f>
        <v>0.86792426481190432</v>
      </c>
      <c r="D378" s="138">
        <f t="shared" ref="D378" si="971">+D377/D$485</f>
        <v>0.622735049790478</v>
      </c>
      <c r="E378" s="138">
        <f t="shared" ref="E378" si="972">+E377/E$485</f>
        <v>0.12475513876275064</v>
      </c>
      <c r="F378" s="138">
        <f t="shared" ref="F378:G378" si="973">+F377/F$485</f>
        <v>0.45392151835750205</v>
      </c>
      <c r="G378" s="138">
        <f t="shared" si="973"/>
        <v>0.55699387103879106</v>
      </c>
      <c r="H378" s="138">
        <f t="shared" ref="H378:I378" si="974">+H377/H$485</f>
        <v>0.67029713948569791</v>
      </c>
      <c r="I378" s="138">
        <f t="shared" si="974"/>
        <v>0.84775952158229984</v>
      </c>
      <c r="J378" s="139">
        <f t="shared" ref="J378" si="975">+J377/J$485</f>
        <v>0.96509145781548866</v>
      </c>
      <c r="K378" s="139"/>
      <c r="L378" s="140"/>
      <c r="M378" s="3"/>
      <c r="N378" s="135" t="s">
        <v>15</v>
      </c>
      <c r="O378" s="138">
        <f t="shared" ref="O378" si="976">+O377/O$485</f>
        <v>0.90016219950876475</v>
      </c>
      <c r="P378" s="138">
        <f t="shared" ref="P378" si="977">+P377/P$485</f>
        <v>0.87513465268907631</v>
      </c>
      <c r="Q378" s="138">
        <f t="shared" ref="Q378" si="978">+Q377/Q$485</f>
        <v>0.80319773794946614</v>
      </c>
      <c r="R378" s="138">
        <f t="shared" ref="R378" si="979">+R377/R$485</f>
        <v>0.19639046146955266</v>
      </c>
      <c r="S378" s="138">
        <f t="shared" ref="S378:W378" si="980">+S377/S$485</f>
        <v>0.22237580521610706</v>
      </c>
      <c r="T378" s="138">
        <f t="shared" si="980"/>
        <v>0.49510762791393192</v>
      </c>
      <c r="U378" s="138">
        <f t="shared" si="980"/>
        <v>0.61620218080198175</v>
      </c>
      <c r="V378" s="138">
        <f t="shared" si="980"/>
        <v>0.75390869568152052</v>
      </c>
      <c r="W378" s="139">
        <f t="shared" si="980"/>
        <v>0.91360057364433345</v>
      </c>
      <c r="X378" s="139">
        <f t="shared" ref="X378" si="981">+X377/X$485</f>
        <v>0.98555462174189434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982">+D377/C377-1</f>
        <v>-0.27635883553926621</v>
      </c>
      <c r="E379" s="142">
        <f t="shared" ref="E379" si="983">+E377/D377-1</f>
        <v>-0.82093270840159782</v>
      </c>
      <c r="F379" s="142">
        <f t="shared" ref="F379:J379" si="984">+F377/E377-1</f>
        <v>1.942071159920884</v>
      </c>
      <c r="G379" s="142">
        <f t="shared" si="984"/>
        <v>0.36502772610906864</v>
      </c>
      <c r="H379" s="142">
        <f t="shared" si="984"/>
        <v>0.27806858277368485</v>
      </c>
      <c r="I379" s="142">
        <f t="shared" si="984"/>
        <v>0.37616195480296133</v>
      </c>
      <c r="J379" s="143">
        <f t="shared" si="984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985">+Q377/P377-1</f>
        <v>-2.0450073045011452E-2</v>
      </c>
      <c r="R379" s="142">
        <f t="shared" ref="R379" si="986">+R377/Q377-1</f>
        <v>-0.77254594427243795</v>
      </c>
      <c r="S379" s="142">
        <f t="shared" ref="S379" si="987">+S377/R377-1</f>
        <v>-5.3138043252479505E-2</v>
      </c>
      <c r="T379" s="142">
        <f t="shared" ref="T379" si="988">+T377/S377-1</f>
        <v>1.1490244070691906</v>
      </c>
      <c r="U379" s="142">
        <f t="shared" ref="U379" si="989">+U377/T377-1</f>
        <v>0.35153012605241418</v>
      </c>
      <c r="V379" s="142">
        <f t="shared" ref="V379" si="990">+V377/U377-1</f>
        <v>0.32382693030680243</v>
      </c>
      <c r="W379" s="143">
        <f t="shared" ref="W379:X379" si="991">+W377/V377-1</f>
        <v>0.26156951668954864</v>
      </c>
      <c r="X379" s="143">
        <f t="shared" si="991"/>
        <v>8.5814840809796289E-2</v>
      </c>
      <c r="Y379" s="144"/>
      <c r="Z379" s="145"/>
    </row>
    <row r="380" spans="1:26" ht="15.75" thickBot="1" x14ac:dyDescent="0.3"/>
    <row r="381" spans="1:26" ht="15.75" thickBot="1" x14ac:dyDescent="0.3">
      <c r="A381" s="347" t="s">
        <v>88</v>
      </c>
      <c r="B381" s="348"/>
      <c r="C381" s="348"/>
      <c r="D381" s="348"/>
      <c r="E381" s="348"/>
      <c r="F381" s="348"/>
      <c r="G381" s="348"/>
      <c r="H381" s="348"/>
      <c r="I381" s="348"/>
      <c r="J381" s="348"/>
      <c r="K381" s="348"/>
      <c r="L381" s="349"/>
      <c r="M381" s="2"/>
      <c r="N381" s="347" t="s">
        <v>89</v>
      </c>
      <c r="O381" s="348"/>
      <c r="P381" s="348"/>
      <c r="Q381" s="348"/>
      <c r="R381" s="348"/>
      <c r="S381" s="348"/>
      <c r="T381" s="348"/>
      <c r="U381" s="348"/>
      <c r="V381" s="348"/>
      <c r="W381" s="348"/>
      <c r="X381" s="348"/>
      <c r="Y381" s="348"/>
      <c r="Z381" s="34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992">+C382+1</f>
        <v>2018</v>
      </c>
      <c r="E382" s="129">
        <f t="shared" ref="E382" si="993">+D382+1</f>
        <v>2019</v>
      </c>
      <c r="F382" s="129">
        <f t="shared" ref="F382" si="994">+E382+1</f>
        <v>2020</v>
      </c>
      <c r="G382" s="129">
        <f t="shared" ref="G382" si="995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996">+P382+1</f>
        <v>2018</v>
      </c>
      <c r="R382" s="129">
        <f t="shared" ref="R382" si="997">+Q382+1</f>
        <v>2019</v>
      </c>
      <c r="S382" s="129">
        <f t="shared" ref="S382" si="998">+R382+1</f>
        <v>2020</v>
      </c>
      <c r="T382" s="129">
        <f t="shared" ref="T382" si="999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000">+C222/C61</f>
        <v>1.8704455884087225</v>
      </c>
      <c r="D383" s="158">
        <f t="shared" si="1000"/>
        <v>3.1383302864107252</v>
      </c>
      <c r="E383" s="158">
        <f t="shared" si="1000"/>
        <v>1.2227262907755454</v>
      </c>
      <c r="F383" s="158">
        <f t="shared" si="1000"/>
        <v>0.92608223803207523</v>
      </c>
      <c r="G383" s="158">
        <f t="shared" si="1000"/>
        <v>0.98551057957681687</v>
      </c>
      <c r="H383" s="158">
        <f t="shared" si="1000"/>
        <v>1.5465631929046564</v>
      </c>
      <c r="I383" s="158">
        <f t="shared" ref="I383:J383" si="1001">+I222/I61</f>
        <v>2.9653679653679652</v>
      </c>
      <c r="J383" s="180">
        <f t="shared" si="1001"/>
        <v>2.5976768743400207</v>
      </c>
      <c r="K383" s="181">
        <f t="shared" ref="K383" si="1002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003">+P222/P61</f>
        <v>2.3253905741284751</v>
      </c>
      <c r="Q383" s="158">
        <f t="shared" si="1003"/>
        <v>2.1549901920995675</v>
      </c>
      <c r="R383" s="158">
        <f t="shared" si="1003"/>
        <v>2.1234255049563986</v>
      </c>
      <c r="S383" s="158">
        <f t="shared" si="1003"/>
        <v>1.259547200753147</v>
      </c>
      <c r="T383" s="158">
        <f t="shared" si="1003"/>
        <v>1.0328721979207414</v>
      </c>
      <c r="U383" s="158">
        <f t="shared" si="1003"/>
        <v>1.4017993802964124</v>
      </c>
      <c r="V383" s="158">
        <f t="shared" si="1003"/>
        <v>2.944722123956331</v>
      </c>
      <c r="W383" s="180">
        <f t="shared" si="1003"/>
        <v>2.8254463340625215</v>
      </c>
      <c r="X383" s="181">
        <f t="shared" ref="X383" si="1004">+X222/X61</f>
        <v>2.8367421033522935</v>
      </c>
      <c r="Y383" s="147">
        <f t="shared" ref="Y383:Y385" si="1005">+X383/W383-1</f>
        <v>3.9978707624328536E-3</v>
      </c>
      <c r="Z383" s="127">
        <f t="shared" ref="Z383:Z385" si="1006">+POWER(X383/S383,0.2)-1</f>
        <v>0.17630808360221728</v>
      </c>
    </row>
    <row r="384" spans="1:26" x14ac:dyDescent="0.25">
      <c r="A384" s="133" t="s">
        <v>11</v>
      </c>
      <c r="B384" s="158">
        <f t="shared" ref="B384:G384" si="1007">+B223/B62</f>
        <v>1.7696484189857136</v>
      </c>
      <c r="C384" s="158">
        <f t="shared" si="1007"/>
        <v>1.3647674182409102</v>
      </c>
      <c r="D384" s="158">
        <f t="shared" si="1007"/>
        <v>3.2408630559225009</v>
      </c>
      <c r="E384" s="158">
        <f t="shared" si="1007"/>
        <v>1.2663299076815884</v>
      </c>
      <c r="F384" s="158">
        <f t="shared" si="1007"/>
        <v>1.1006969478490747</v>
      </c>
      <c r="G384" s="158">
        <f t="shared" si="1007"/>
        <v>1.1226558540293969</v>
      </c>
      <c r="H384" s="158">
        <f t="shared" si="1000"/>
        <v>1.9817898022892817</v>
      </c>
      <c r="I384" s="158">
        <f t="shared" ref="I384:J394" si="1008">+I223/I62</f>
        <v>2.60952380952381</v>
      </c>
      <c r="J384" s="180">
        <f t="shared" si="1008"/>
        <v>3.2285368802902057</v>
      </c>
      <c r="K384" s="181">
        <f t="shared" ref="K384:K385" si="1009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010">+O223/O62</f>
        <v>2.492784748018682</v>
      </c>
      <c r="P384" s="158">
        <f t="shared" si="1010"/>
        <v>2.2773756951618518</v>
      </c>
      <c r="Q384" s="158">
        <f t="shared" si="1010"/>
        <v>2.3301902465983804</v>
      </c>
      <c r="R384" s="158">
        <f t="shared" si="1010"/>
        <v>1.9528373093021658</v>
      </c>
      <c r="S384" s="158">
        <f t="shared" si="1010"/>
        <v>1.2486581514383059</v>
      </c>
      <c r="T384" s="158">
        <f t="shared" si="1010"/>
        <v>1.0337286967269614</v>
      </c>
      <c r="U384" s="158">
        <f t="shared" si="1010"/>
        <v>1.4447914645974782</v>
      </c>
      <c r="V384" s="158">
        <f t="shared" si="1003"/>
        <v>3.0215472589612804</v>
      </c>
      <c r="W384" s="180">
        <f t="shared" si="1003"/>
        <v>2.8859153976311331</v>
      </c>
      <c r="X384" s="181">
        <f t="shared" ref="X384:X385" si="1011">+X223/X62</f>
        <v>2.892535800278798</v>
      </c>
      <c r="Y384" s="147">
        <f t="shared" si="1005"/>
        <v>2.2940390605694638E-3</v>
      </c>
      <c r="Z384" s="127">
        <f t="shared" si="1006"/>
        <v>0.18295176678152214</v>
      </c>
    </row>
    <row r="385" spans="1:26" x14ac:dyDescent="0.25">
      <c r="A385" s="133" t="s">
        <v>0</v>
      </c>
      <c r="B385" s="158">
        <f t="shared" ref="B385:G385" si="1012">+B224/B63</f>
        <v>2.5642319286606208</v>
      </c>
      <c r="C385" s="158">
        <f t="shared" si="1012"/>
        <v>1.4429322805645597</v>
      </c>
      <c r="D385" s="158">
        <f t="shared" si="1012"/>
        <v>3.0158730158730158</v>
      </c>
      <c r="E385" s="158">
        <f t="shared" si="1012"/>
        <v>1.5658451580781678</v>
      </c>
      <c r="F385" s="158">
        <f t="shared" si="1012"/>
        <v>0.84652952493710221</v>
      </c>
      <c r="G385" s="158">
        <f t="shared" si="1012"/>
        <v>1.0245656081485921</v>
      </c>
      <c r="H385" s="158">
        <f t="shared" si="1000"/>
        <v>3.0186322473196623</v>
      </c>
      <c r="I385" s="158">
        <f t="shared" si="1008"/>
        <v>2.9</v>
      </c>
      <c r="J385" s="180">
        <f t="shared" si="1008"/>
        <v>3.2716049382716048</v>
      </c>
      <c r="K385" s="181">
        <f t="shared" si="1009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013">+O224/O63</f>
        <v>2.467561470806841</v>
      </c>
      <c r="P385" s="158">
        <f t="shared" si="1013"/>
        <v>2.1658386494306598</v>
      </c>
      <c r="Q385" s="158">
        <f t="shared" si="1013"/>
        <v>2.4705277142764688</v>
      </c>
      <c r="R385" s="158">
        <f t="shared" si="1013"/>
        <v>1.8813449023861171</v>
      </c>
      <c r="S385" s="158">
        <f t="shared" si="1013"/>
        <v>1.1891012728113761</v>
      </c>
      <c r="T385" s="158">
        <f t="shared" si="1013"/>
        <v>1.0480484410130742</v>
      </c>
      <c r="U385" s="158">
        <f t="shared" si="1013"/>
        <v>1.5389868374833913</v>
      </c>
      <c r="V385" s="158">
        <f t="shared" si="1003"/>
        <v>3.012034140489793</v>
      </c>
      <c r="W385" s="180">
        <f t="shared" si="1003"/>
        <v>2.906642831605291</v>
      </c>
      <c r="X385" s="181">
        <f t="shared" si="1011"/>
        <v>2.8674171357098186</v>
      </c>
      <c r="Y385" s="147">
        <f t="shared" si="1005"/>
        <v>-1.3495189525507878E-2</v>
      </c>
      <c r="Z385" s="127">
        <f t="shared" si="1006"/>
        <v>0.19248906818677747</v>
      </c>
    </row>
    <row r="386" spans="1:26" x14ac:dyDescent="0.25">
      <c r="A386" s="133" t="s">
        <v>1</v>
      </c>
      <c r="B386" s="158">
        <f t="shared" ref="B386:H386" si="1014">+B225/B64</f>
        <v>2.0212838393753869</v>
      </c>
      <c r="C386" s="158">
        <f t="shared" si="1014"/>
        <v>2.0966085441763083</v>
      </c>
      <c r="D386" s="158">
        <f t="shared" si="1014"/>
        <v>3.4747474747474745</v>
      </c>
      <c r="E386" s="158">
        <f t="shared" si="1014"/>
        <v>1.2690617730679761</v>
      </c>
      <c r="F386" s="158">
        <f t="shared" si="1014"/>
        <v>0.94521887992174136</v>
      </c>
      <c r="G386" s="158">
        <f t="shared" si="1014"/>
        <v>1.081363458273475</v>
      </c>
      <c r="H386" s="158">
        <f t="shared" si="1014"/>
        <v>7.0001865555624665</v>
      </c>
      <c r="I386" s="158">
        <f t="shared" si="1008"/>
        <v>3.2405186385737443</v>
      </c>
      <c r="J386" s="180">
        <f t="shared" si="1008"/>
        <v>2.788844621513944</v>
      </c>
      <c r="K386" s="181"/>
      <c r="L386" s="127"/>
      <c r="M386" s="2"/>
      <c r="N386" s="133" t="s">
        <v>1</v>
      </c>
      <c r="O386" s="158">
        <f t="shared" ref="O386:U386" si="1015">+O225/O64</f>
        <v>2.4781663375854612</v>
      </c>
      <c r="P386" s="158">
        <f t="shared" si="1015"/>
        <v>2.1725007609360882</v>
      </c>
      <c r="Q386" s="158">
        <f t="shared" si="1015"/>
        <v>2.5754201871954217</v>
      </c>
      <c r="R386" s="158">
        <f t="shared" si="1015"/>
        <v>1.7291449728103665</v>
      </c>
      <c r="S386" s="158">
        <f t="shared" si="1015"/>
        <v>1.1503624531182828</v>
      </c>
      <c r="T386" s="158">
        <f t="shared" si="1015"/>
        <v>1.0611683026095282</v>
      </c>
      <c r="U386" s="158">
        <f t="shared" si="1015"/>
        <v>1.8477949419139492</v>
      </c>
      <c r="V386" s="158">
        <f t="shared" si="1003"/>
        <v>2.7019668349144177</v>
      </c>
      <c r="W386" s="180">
        <f t="shared" si="1003"/>
        <v>2.8666714265314859</v>
      </c>
      <c r="X386" s="181"/>
      <c r="Y386" s="147"/>
      <c r="Z386" s="127"/>
    </row>
    <row r="387" spans="1:26" x14ac:dyDescent="0.25">
      <c r="A387" s="133" t="s">
        <v>2</v>
      </c>
      <c r="B387" s="158">
        <f t="shared" ref="B387:H387" si="1016">+B226/B65</f>
        <v>2.7811194021791956</v>
      </c>
      <c r="C387" s="158">
        <f t="shared" si="1016"/>
        <v>1.482133408204918</v>
      </c>
      <c r="D387" s="158">
        <f t="shared" si="1016"/>
        <v>3.1439602868174297</v>
      </c>
      <c r="E387" s="158">
        <f t="shared" si="1016"/>
        <v>1.2917665867306156</v>
      </c>
      <c r="F387" s="158">
        <f t="shared" si="1016"/>
        <v>0.87497695002765996</v>
      </c>
      <c r="G387" s="158">
        <f t="shared" si="1016"/>
        <v>1.2439306358381503</v>
      </c>
      <c r="H387" s="158">
        <f t="shared" si="1016"/>
        <v>4.2427368865336357</v>
      </c>
      <c r="I387" s="158">
        <f t="shared" si="1008"/>
        <v>2.538307794803464</v>
      </c>
      <c r="J387" s="180">
        <f t="shared" ref="J387" si="1017">+J226/J65</f>
        <v>2.5559845559845562</v>
      </c>
      <c r="K387" s="181"/>
      <c r="L387" s="127"/>
      <c r="M387" s="2"/>
      <c r="N387" s="133" t="s">
        <v>2</v>
      </c>
      <c r="O387" s="158">
        <f t="shared" ref="O387:U387" si="1018">+O226/O65</f>
        <v>2.46606580358335</v>
      </c>
      <c r="P387" s="158">
        <f t="shared" si="1018"/>
        <v>2.0517647318606764</v>
      </c>
      <c r="Q387" s="158">
        <f t="shared" si="1018"/>
        <v>2.746882799329732</v>
      </c>
      <c r="R387" s="158">
        <f t="shared" si="1018"/>
        <v>1.6349911190053283</v>
      </c>
      <c r="S387" s="158">
        <f t="shared" si="1018"/>
        <v>1.0966300244281588</v>
      </c>
      <c r="T387" s="158">
        <f t="shared" si="1018"/>
        <v>1.0976512289175397</v>
      </c>
      <c r="U387" s="158">
        <f t="shared" si="1018"/>
        <v>1.9759683249370621</v>
      </c>
      <c r="V387" s="158">
        <f t="shared" si="1003"/>
        <v>2.6255883837753222</v>
      </c>
      <c r="W387" s="180">
        <f t="shared" ref="W387:W394" si="1019">+W226/W65</f>
        <v>2.8732318840579705</v>
      </c>
      <c r="X387" s="181"/>
      <c r="Y387" s="147"/>
      <c r="Z387" s="127"/>
    </row>
    <row r="388" spans="1:26" x14ac:dyDescent="0.25">
      <c r="A388" s="133" t="s">
        <v>3</v>
      </c>
      <c r="B388" s="158">
        <f t="shared" ref="B388:H395" si="1020">+B227/B66</f>
        <v>2.1924025135470795</v>
      </c>
      <c r="C388" s="158">
        <f t="shared" si="1020"/>
        <v>2.3757592234449434</v>
      </c>
      <c r="D388" s="158">
        <f t="shared" si="1020"/>
        <v>3.137472283813747</v>
      </c>
      <c r="E388" s="158">
        <f t="shared" si="1020"/>
        <v>2.0777160983346552</v>
      </c>
      <c r="F388" s="158">
        <f t="shared" si="1020"/>
        <v>1.8166139695314747</v>
      </c>
      <c r="G388" s="158">
        <f t="shared" si="1020"/>
        <v>1.4568200161420501</v>
      </c>
      <c r="H388" s="158">
        <f t="shared" si="1020"/>
        <v>2.7078353565474655</v>
      </c>
      <c r="I388" s="158">
        <f t="shared" si="1008"/>
        <v>2.3951690821256038</v>
      </c>
      <c r="J388" s="180">
        <f t="shared" ref="J388:J394" si="1021">+J227/J66</f>
        <v>2.7379949452401013</v>
      </c>
      <c r="K388" s="181"/>
      <c r="L388" s="127"/>
      <c r="M388" s="2"/>
      <c r="N388" s="133" t="s">
        <v>3</v>
      </c>
      <c r="O388" s="158">
        <f t="shared" ref="O388:U388" si="1022">+O227/O66</f>
        <v>2.4744261431242709</v>
      </c>
      <c r="P388" s="158">
        <f t="shared" si="1022"/>
        <v>2.06665724854042</v>
      </c>
      <c r="Q388" s="158">
        <f t="shared" si="1022"/>
        <v>2.8144748270122903</v>
      </c>
      <c r="R388" s="158">
        <f t="shared" si="1022"/>
        <v>1.6070363744782348</v>
      </c>
      <c r="S388" s="158">
        <f t="shared" si="1022"/>
        <v>1.0970481473871652</v>
      </c>
      <c r="T388" s="158">
        <f t="shared" si="1022"/>
        <v>1.0884631064003258</v>
      </c>
      <c r="U388" s="158">
        <f t="shared" si="1022"/>
        <v>2.0993400760111549</v>
      </c>
      <c r="V388" s="158">
        <f t="shared" si="1003"/>
        <v>2.5998048831882454</v>
      </c>
      <c r="W388" s="180">
        <f t="shared" si="1019"/>
        <v>2.9125424730388536</v>
      </c>
      <c r="X388" s="181"/>
      <c r="Y388" s="147"/>
      <c r="Z388" s="127"/>
    </row>
    <row r="389" spans="1:26" x14ac:dyDescent="0.25">
      <c r="A389" s="133" t="s">
        <v>4</v>
      </c>
      <c r="B389" s="158">
        <f t="shared" ref="B389:F389" si="1023">+B228/B67</f>
        <v>2.1386205248194829</v>
      </c>
      <c r="C389" s="158">
        <f t="shared" si="1023"/>
        <v>2.4750295619795204</v>
      </c>
      <c r="D389" s="158">
        <f t="shared" si="1023"/>
        <v>1.4717706694633803</v>
      </c>
      <c r="E389" s="158">
        <f t="shared" si="1023"/>
        <v>1.556448666423091</v>
      </c>
      <c r="F389" s="158">
        <f t="shared" si="1023"/>
        <v>1.7687296416938112</v>
      </c>
      <c r="G389" s="158">
        <f t="shared" si="1020"/>
        <v>0.94726696957180223</v>
      </c>
      <c r="H389" s="158">
        <f t="shared" ref="H389" si="1024">+H228/H67</f>
        <v>3.4282503725297011</v>
      </c>
      <c r="I389" s="158">
        <f t="shared" si="1008"/>
        <v>4.3823529411764701</v>
      </c>
      <c r="J389" s="180">
        <f t="shared" si="1021"/>
        <v>2.8888888888888888</v>
      </c>
      <c r="K389" s="181"/>
      <c r="L389" s="127"/>
      <c r="M389" s="2"/>
      <c r="N389" s="133" t="s">
        <v>4</v>
      </c>
      <c r="O389" s="158">
        <f t="shared" ref="O389:U389" si="1025">+O228/O67</f>
        <v>2.473981171191816</v>
      </c>
      <c r="P389" s="158">
        <f t="shared" si="1025"/>
        <v>2.0934989083421431</v>
      </c>
      <c r="Q389" s="158">
        <f t="shared" si="1025"/>
        <v>2.5996857994562483</v>
      </c>
      <c r="R389" s="158">
        <f t="shared" si="1025"/>
        <v>1.6157897518099027</v>
      </c>
      <c r="S389" s="158">
        <f t="shared" si="1025"/>
        <v>1.0906361099701136</v>
      </c>
      <c r="T389" s="158">
        <f t="shared" si="1025"/>
        <v>1.0508048228905902</v>
      </c>
      <c r="U389" s="158">
        <f t="shared" si="1025"/>
        <v>2.4635913665458751</v>
      </c>
      <c r="V389" s="158">
        <f t="shared" si="1003"/>
        <v>2.6099501248571815</v>
      </c>
      <c r="W389" s="180">
        <f t="shared" si="1019"/>
        <v>2.839479855041569</v>
      </c>
      <c r="X389" s="181"/>
      <c r="Y389" s="147"/>
      <c r="Z389" s="127"/>
    </row>
    <row r="390" spans="1:26" x14ac:dyDescent="0.25">
      <c r="A390" s="133" t="s">
        <v>5</v>
      </c>
      <c r="B390" s="158">
        <f t="shared" ref="B390:F390" si="1026">+B229/B68</f>
        <v>2.9003936607544922</v>
      </c>
      <c r="C390" s="158">
        <f t="shared" si="1026"/>
        <v>2.391016981159483</v>
      </c>
      <c r="D390" s="158">
        <f t="shared" si="1026"/>
        <v>2.0562998645190427</v>
      </c>
      <c r="E390" s="158">
        <f t="shared" si="1026"/>
        <v>1.9018612521150595</v>
      </c>
      <c r="F390" s="158">
        <f t="shared" si="1026"/>
        <v>0.97615131578947378</v>
      </c>
      <c r="G390" s="158">
        <f t="shared" si="1020"/>
        <v>2.4078091106290671</v>
      </c>
      <c r="H390" s="158">
        <f t="shared" ref="H390" si="1027">+H229/H68</f>
        <v>2.4269207570674478</v>
      </c>
      <c r="I390" s="158">
        <f t="shared" si="1008"/>
        <v>2.7112135176651302</v>
      </c>
      <c r="J390" s="180">
        <f t="shared" si="1021"/>
        <v>2.7047332832456799</v>
      </c>
      <c r="K390" s="181"/>
      <c r="L390" s="127"/>
      <c r="M390" s="2"/>
      <c r="N390" s="133" t="s">
        <v>5</v>
      </c>
      <c r="O390" s="158">
        <f t="shared" ref="O390:U390" si="1028">+O229/O68</f>
        <v>2.4818201080278914</v>
      </c>
      <c r="P390" s="158">
        <f t="shared" si="1028"/>
        <v>2.0495038797076099</v>
      </c>
      <c r="Q390" s="158">
        <f t="shared" si="1028"/>
        <v>2.5144905843612468</v>
      </c>
      <c r="R390" s="158">
        <f t="shared" si="1028"/>
        <v>1.5765876080854508</v>
      </c>
      <c r="S390" s="158">
        <f t="shared" si="1028"/>
        <v>1.0431546500263138</v>
      </c>
      <c r="T390" s="158">
        <f t="shared" si="1028"/>
        <v>1.1383539998393097</v>
      </c>
      <c r="U390" s="158">
        <f t="shared" si="1028"/>
        <v>2.4689482277608552</v>
      </c>
      <c r="V390" s="158">
        <f t="shared" si="1003"/>
        <v>2.6431431069139668</v>
      </c>
      <c r="W390" s="180">
        <f t="shared" si="1019"/>
        <v>2.8386044532690398</v>
      </c>
      <c r="X390" s="181"/>
      <c r="Y390" s="147"/>
      <c r="Z390" s="127"/>
    </row>
    <row r="391" spans="1:26" x14ac:dyDescent="0.25">
      <c r="A391" s="133" t="s">
        <v>6</v>
      </c>
      <c r="B391" s="158">
        <f t="shared" ref="B391:F391" si="1029">+B230/B69</f>
        <v>2.3419506497906344</v>
      </c>
      <c r="C391" s="158">
        <f t="shared" si="1029"/>
        <v>1.3640699806533867</v>
      </c>
      <c r="D391" s="158">
        <f t="shared" si="1029"/>
        <v>2.2566371681415931</v>
      </c>
      <c r="E391" s="158">
        <f t="shared" si="1029"/>
        <v>2.2383465259454707</v>
      </c>
      <c r="F391" s="158">
        <f t="shared" si="1029"/>
        <v>1.4240218380345768</v>
      </c>
      <c r="G391" s="158">
        <f t="shared" si="1020"/>
        <v>2.2011568123393319</v>
      </c>
      <c r="H391" s="158">
        <f t="shared" ref="H391" si="1030">+H230/H69</f>
        <v>2.3399734729669417</v>
      </c>
      <c r="I391" s="158">
        <f t="shared" si="1008"/>
        <v>3.0278884462151394</v>
      </c>
      <c r="J391" s="180">
        <f t="shared" si="1021"/>
        <v>2.75</v>
      </c>
      <c r="K391" s="181"/>
      <c r="L391" s="127"/>
      <c r="M391" s="2"/>
      <c r="N391" s="133" t="s">
        <v>6</v>
      </c>
      <c r="O391" s="158">
        <f t="shared" ref="O391:U391" si="1031">+O230/O69</f>
        <v>2.4605002307424058</v>
      </c>
      <c r="P391" s="158">
        <f t="shared" si="1031"/>
        <v>1.9669363546280851</v>
      </c>
      <c r="Q391" s="158">
        <f t="shared" si="1031"/>
        <v>2.6171210748167257</v>
      </c>
      <c r="R391" s="158">
        <f t="shared" si="1031"/>
        <v>1.5788684057536146</v>
      </c>
      <c r="S391" s="158">
        <f t="shared" si="1031"/>
        <v>1.0304169514695831</v>
      </c>
      <c r="T391" s="158">
        <f t="shared" si="1031"/>
        <v>1.1663078725781397</v>
      </c>
      <c r="U391" s="158">
        <f t="shared" si="1031"/>
        <v>2.4947797459901295</v>
      </c>
      <c r="V391" s="158">
        <f t="shared" si="1003"/>
        <v>2.6882329613053089</v>
      </c>
      <c r="W391" s="180">
        <f t="shared" si="1019"/>
        <v>2.8209148544549731</v>
      </c>
      <c r="X391" s="181"/>
      <c r="Y391" s="147"/>
      <c r="Z391" s="127"/>
    </row>
    <row r="392" spans="1:26" x14ac:dyDescent="0.25">
      <c r="A392" s="133" t="s">
        <v>7</v>
      </c>
      <c r="B392" s="158">
        <f t="shared" ref="B392:F392" si="1032">+B231/B70</f>
        <v>2.3054477481901565</v>
      </c>
      <c r="C392" s="158">
        <f t="shared" si="1032"/>
        <v>2.1417143219224739</v>
      </c>
      <c r="D392" s="158">
        <f t="shared" si="1032"/>
        <v>2.878024193548387</v>
      </c>
      <c r="E392" s="158">
        <f t="shared" si="1032"/>
        <v>1.1542879019908117</v>
      </c>
      <c r="F392" s="158">
        <f t="shared" si="1032"/>
        <v>1.1402050429481851</v>
      </c>
      <c r="G392" s="158">
        <f t="shared" si="1020"/>
        <v>2.3579145138562705</v>
      </c>
      <c r="H392" s="158">
        <f t="shared" ref="H392:H394" si="1033">+H231/H70</f>
        <v>1.7014823945316595</v>
      </c>
      <c r="I392" s="158">
        <f t="shared" si="1008"/>
        <v>2.2614107883817427</v>
      </c>
      <c r="J392" s="180">
        <f t="shared" si="1021"/>
        <v>2.3928770172509739</v>
      </c>
      <c r="K392" s="181"/>
      <c r="L392" s="127"/>
      <c r="M392" s="2"/>
      <c r="N392" s="133" t="s">
        <v>7</v>
      </c>
      <c r="O392" s="158">
        <f t="shared" ref="O392:U392" si="1034">+O231/O70</f>
        <v>2.41192738867178</v>
      </c>
      <c r="P392" s="158">
        <f t="shared" si="1034"/>
        <v>1.9539684479387984</v>
      </c>
      <c r="Q392" s="158">
        <f t="shared" si="1034"/>
        <v>2.6813207787250284</v>
      </c>
      <c r="R392" s="158">
        <f t="shared" si="1034"/>
        <v>1.4940862401216342</v>
      </c>
      <c r="S392" s="158">
        <f t="shared" si="1034"/>
        <v>1.0321489001692048</v>
      </c>
      <c r="T392" s="158">
        <f t="shared" si="1034"/>
        <v>1.2062074518702874</v>
      </c>
      <c r="U392" s="158">
        <f t="shared" si="1034"/>
        <v>2.4185162731039695</v>
      </c>
      <c r="V392" s="158">
        <f t="shared" si="1003"/>
        <v>2.8395717736144661</v>
      </c>
      <c r="W392" s="180">
        <f t="shared" si="1019"/>
        <v>2.8060895368339569</v>
      </c>
      <c r="X392" s="181"/>
      <c r="Y392" s="147"/>
      <c r="Z392" s="127"/>
    </row>
    <row r="393" spans="1:26" x14ac:dyDescent="0.25">
      <c r="A393" s="133" t="s">
        <v>8</v>
      </c>
      <c r="B393" s="158">
        <f t="shared" ref="B393:F393" si="1035">+B232/B71</f>
        <v>3.3007812500000004</v>
      </c>
      <c r="C393" s="158">
        <f t="shared" si="1035"/>
        <v>5.6640625000000009</v>
      </c>
      <c r="D393" s="158">
        <f t="shared" si="1035"/>
        <v>1.9073927913706918</v>
      </c>
      <c r="E393" s="158">
        <f t="shared" si="1035"/>
        <v>1.2011251758087202</v>
      </c>
      <c r="F393" s="158">
        <f t="shared" si="1035"/>
        <v>0.78770413064361189</v>
      </c>
      <c r="G393" s="158">
        <f t="shared" si="1020"/>
        <v>1.3516219463356027</v>
      </c>
      <c r="H393" s="158">
        <f t="shared" si="1033"/>
        <v>2.248995983935743</v>
      </c>
      <c r="I393" s="158">
        <f t="shared" si="1008"/>
        <v>2.9198184568835095</v>
      </c>
      <c r="J393" s="180">
        <f t="shared" si="1021"/>
        <v>2.6145038167938934</v>
      </c>
      <c r="K393" s="181"/>
      <c r="L393" s="127"/>
      <c r="M393" s="2"/>
      <c r="N393" s="133" t="s">
        <v>8</v>
      </c>
      <c r="O393" s="158">
        <f t="shared" ref="O393:U393" si="1036">+O232/O71</f>
        <v>2.4126825056263339</v>
      </c>
      <c r="P393" s="158">
        <f t="shared" si="1036"/>
        <v>2.0450549442277137</v>
      </c>
      <c r="Q393" s="158">
        <f t="shared" si="1036"/>
        <v>2.4580872971128449</v>
      </c>
      <c r="R393" s="158">
        <f t="shared" si="1036"/>
        <v>1.4476978532237155</v>
      </c>
      <c r="S393" s="158">
        <f t="shared" si="1036"/>
        <v>0.99993313720246069</v>
      </c>
      <c r="T393" s="158">
        <f t="shared" si="1036"/>
        <v>1.2788987955576407</v>
      </c>
      <c r="U393" s="158">
        <f t="shared" si="1036"/>
        <v>2.6550355351667427</v>
      </c>
      <c r="V393" s="158">
        <f t="shared" si="1003"/>
        <v>2.904826038159372</v>
      </c>
      <c r="W393" s="180">
        <f t="shared" si="1019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037">+B233/B72</f>
        <v>2.4420075917334456</v>
      </c>
      <c r="C394" s="158">
        <f t="shared" si="1037"/>
        <v>3.1716575284690003</v>
      </c>
      <c r="D394" s="158">
        <f t="shared" si="1037"/>
        <v>1.6248103826057643</v>
      </c>
      <c r="E394" s="158">
        <f t="shared" si="1037"/>
        <v>0.76551782538741631</v>
      </c>
      <c r="F394" s="158">
        <f t="shared" si="1037"/>
        <v>0.92085614733698362</v>
      </c>
      <c r="G394" s="158">
        <f t="shared" si="1020"/>
        <v>1.8220834959032386</v>
      </c>
      <c r="H394" s="158">
        <f t="shared" si="1033"/>
        <v>3.3578174186778598</v>
      </c>
      <c r="I394" s="158">
        <f t="shared" si="1008"/>
        <v>2.9875821767713657</v>
      </c>
      <c r="J394" s="180">
        <f t="shared" si="1021"/>
        <v>4.2857142857142847</v>
      </c>
      <c r="K394" s="181"/>
      <c r="L394" s="127"/>
      <c r="M394" s="2"/>
      <c r="N394" s="133" t="s">
        <v>9</v>
      </c>
      <c r="O394" s="158">
        <f t="shared" ref="O394:U394" si="1038">+O233/O72</f>
        <v>2.3919815779443208</v>
      </c>
      <c r="P394" s="158">
        <f t="shared" si="1038"/>
        <v>2.0884653129824859</v>
      </c>
      <c r="Q394" s="158">
        <f t="shared" si="1038"/>
        <v>2.2800096610578855</v>
      </c>
      <c r="R394" s="158">
        <f t="shared" si="1038"/>
        <v>1.3012718473140061</v>
      </c>
      <c r="S394" s="158">
        <f t="shared" si="1038"/>
        <v>1.0272291969411822</v>
      </c>
      <c r="T394" s="158">
        <f t="shared" si="1038"/>
        <v>1.3376112195283298</v>
      </c>
      <c r="U394" s="158">
        <f t="shared" si="1038"/>
        <v>2.8220783385522825</v>
      </c>
      <c r="V394" s="158">
        <f t="shared" si="1003"/>
        <v>2.8534839151266262</v>
      </c>
      <c r="W394" s="180">
        <f t="shared" si="1019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039">+B234/B73</f>
        <v>2.3919815779443212</v>
      </c>
      <c r="C395" s="182">
        <f t="shared" si="1039"/>
        <v>2.0884653129824859</v>
      </c>
      <c r="D395" s="182">
        <f t="shared" si="1039"/>
        <v>2.2800096610578855</v>
      </c>
      <c r="E395" s="182">
        <f t="shared" si="1039"/>
        <v>1.3012718473140061</v>
      </c>
      <c r="F395" s="182">
        <f t="shared" si="1039"/>
        <v>1.0272291969411822</v>
      </c>
      <c r="G395" s="182">
        <f t="shared" si="1020"/>
        <v>1.3376112195283298</v>
      </c>
      <c r="H395" s="182">
        <f t="shared" ref="H395" si="1040">+H234/H73</f>
        <v>2.8220783385522825</v>
      </c>
      <c r="I395" s="182">
        <f t="shared" ref="I395:J395" si="1041">+I234/I73</f>
        <v>2.8534839151266262</v>
      </c>
      <c r="J395" s="183">
        <f t="shared" si="1041"/>
        <v>2.8779947034550721</v>
      </c>
      <c r="K395" s="183"/>
      <c r="L395" s="137"/>
      <c r="M395" s="3"/>
      <c r="N395" s="134" t="s">
        <v>14</v>
      </c>
      <c r="O395" s="182">
        <f t="shared" ref="O395:W395" si="1042">+O234/O73</f>
        <v>2.4646251024410568</v>
      </c>
      <c r="P395" s="182">
        <f t="shared" si="1042"/>
        <v>2.104746292323751</v>
      </c>
      <c r="Q395" s="182">
        <f t="shared" si="1042"/>
        <v>2.5050154439654397</v>
      </c>
      <c r="R395" s="182">
        <f t="shared" si="1042"/>
        <v>1.637747869764387</v>
      </c>
      <c r="S395" s="182">
        <f t="shared" si="1042"/>
        <v>1.0969889107255604</v>
      </c>
      <c r="T395" s="182">
        <f t="shared" si="1042"/>
        <v>1.1183430465414386</v>
      </c>
      <c r="U395" s="182">
        <f t="shared" si="1042"/>
        <v>1.9829126123155412</v>
      </c>
      <c r="V395" s="182">
        <f t="shared" si="1042"/>
        <v>2.7849003501733227</v>
      </c>
      <c r="W395" s="183">
        <f t="shared" si="1042"/>
        <v>2.8508422122489065</v>
      </c>
      <c r="X395" s="183">
        <f t="shared" ref="X395" si="1043">+X234/X73</f>
        <v>2.8651289908484823</v>
      </c>
      <c r="Y395" s="149">
        <f>+X395/W395-1</f>
        <v>5.0114238305407621E-3</v>
      </c>
      <c r="Z395" s="156">
        <f>+POWER(X395/S395,0.2)-1</f>
        <v>0.2116812523218301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044">+C395/C$485</f>
        <v>0.55366635813149068</v>
      </c>
      <c r="D396" s="138">
        <f t="shared" ref="D396" si="1045">+D395/D$485</f>
        <v>0.59931586228403644</v>
      </c>
      <c r="E396" s="138">
        <f t="shared" ref="E396" si="1046">+E395/E$485</f>
        <v>0.38267138466614009</v>
      </c>
      <c r="F396" s="138">
        <f t="shared" ref="F396:G396" si="1047">+F395/F$485</f>
        <v>0.37358932954191171</v>
      </c>
      <c r="G396" s="138">
        <f t="shared" si="1047"/>
        <v>0.43730574607362832</v>
      </c>
      <c r="H396" s="138">
        <f t="shared" ref="H396" si="1048">+H395/H$485</f>
        <v>0.86873463546538854</v>
      </c>
      <c r="I396" s="138">
        <f t="shared" ref="I396:J396" si="1049">+I395/I$485</f>
        <v>0.80728942445830421</v>
      </c>
      <c r="J396" s="139">
        <f t="shared" si="1049"/>
        <v>0.81057971251618943</v>
      </c>
      <c r="K396" s="139"/>
      <c r="L396" s="140"/>
      <c r="M396" s="3"/>
      <c r="N396" s="135" t="s">
        <v>15</v>
      </c>
      <c r="O396" s="138">
        <f t="shared" ref="O396" si="1050">+O395/O$485</f>
        <v>0.72293012540083779</v>
      </c>
      <c r="P396" s="138">
        <f t="shared" ref="P396" si="1051">+P395/P$485</f>
        <v>0.58209134501838955</v>
      </c>
      <c r="Q396" s="138">
        <f t="shared" ref="Q396" si="1052">+Q395/Q$485</f>
        <v>0.64911674962052346</v>
      </c>
      <c r="R396" s="138">
        <f t="shared" ref="R396" si="1053">+R395/R$485</f>
        <v>0.45620882274750646</v>
      </c>
      <c r="S396" s="138">
        <f t="shared" ref="S396:W396" si="1054">+S395/S$485</f>
        <v>0.36542592037464083</v>
      </c>
      <c r="T396" s="138">
        <f t="shared" si="1054"/>
        <v>0.38596052606174724</v>
      </c>
      <c r="U396" s="138">
        <f t="shared" si="1054"/>
        <v>0.63018680545841632</v>
      </c>
      <c r="V396" s="138">
        <f t="shared" si="1054"/>
        <v>0.81797437866608702</v>
      </c>
      <c r="W396" s="139">
        <f t="shared" si="1054"/>
        <v>0.8043214409681102</v>
      </c>
      <c r="X396" s="139">
        <f t="shared" ref="X396" si="1055">+X395/X$485</f>
        <v>0.80309922413642765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056">+D395/C395-1</f>
        <v>9.1715360022838865E-2</v>
      </c>
      <c r="E397" s="142">
        <f t="shared" ref="E397" si="1057">+E395/D395-1</f>
        <v>-0.42926915199550586</v>
      </c>
      <c r="F397" s="142">
        <f t="shared" ref="F397:J397" si="1058">+F395/E395-1</f>
        <v>-0.21059600339351348</v>
      </c>
      <c r="G397" s="142">
        <f t="shared" si="1058"/>
        <v>0.3021545955969549</v>
      </c>
      <c r="H397" s="142">
        <f t="shared" si="1058"/>
        <v>1.109789673824213</v>
      </c>
      <c r="I397" s="142">
        <f t="shared" si="1058"/>
        <v>1.1128527562581647E-2</v>
      </c>
      <c r="J397" s="143">
        <f t="shared" si="1058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059">+Q395/P395-1</f>
        <v>0.19017453699836206</v>
      </c>
      <c r="R397" s="142">
        <f t="shared" ref="R397" si="1060">+R395/Q395-1</f>
        <v>-0.34621246599109512</v>
      </c>
      <c r="S397" s="142">
        <f t="shared" ref="S397" si="1061">+S395/R395-1</f>
        <v>-0.3301844984946446</v>
      </c>
      <c r="T397" s="142">
        <f t="shared" ref="T397" si="1062">+T395/S395-1</f>
        <v>1.9466136445950299E-2</v>
      </c>
      <c r="U397" s="142">
        <f t="shared" ref="U397" si="1063">+U395/T395-1</f>
        <v>0.77308082564455516</v>
      </c>
      <c r="V397" s="142">
        <f t="shared" ref="V397" si="1064">+V395/U395-1</f>
        <v>0.40444936043916857</v>
      </c>
      <c r="W397" s="143">
        <f t="shared" ref="W397:X397" si="1065">+W395/V395-1</f>
        <v>2.367835605732882E-2</v>
      </c>
      <c r="X397" s="143">
        <f t="shared" si="1065"/>
        <v>5.0114238305407621E-3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47" t="s">
        <v>90</v>
      </c>
      <c r="B399" s="348"/>
      <c r="C399" s="348"/>
      <c r="D399" s="348"/>
      <c r="E399" s="348"/>
      <c r="F399" s="348"/>
      <c r="G399" s="348"/>
      <c r="H399" s="348"/>
      <c r="I399" s="348"/>
      <c r="J399" s="348"/>
      <c r="K399" s="348"/>
      <c r="L399" s="349"/>
      <c r="M399" s="2"/>
      <c r="N399" s="347" t="s">
        <v>91</v>
      </c>
      <c r="O399" s="348"/>
      <c r="P399" s="348"/>
      <c r="Q399" s="348"/>
      <c r="R399" s="348"/>
      <c r="S399" s="348"/>
      <c r="T399" s="348"/>
      <c r="U399" s="348"/>
      <c r="V399" s="348"/>
      <c r="W399" s="348"/>
      <c r="X399" s="348"/>
      <c r="Y399" s="348"/>
      <c r="Z399" s="34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066">+C400+1</f>
        <v>2018</v>
      </c>
      <c r="E400" s="129">
        <f t="shared" ref="E400" si="1067">+D400+1</f>
        <v>2019</v>
      </c>
      <c r="F400" s="129">
        <f t="shared" ref="F400" si="1068">+E400+1</f>
        <v>2020</v>
      </c>
      <c r="G400" s="129">
        <f t="shared" ref="G400" si="1069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070">+P400+1</f>
        <v>2018</v>
      </c>
      <c r="R400" s="129">
        <f t="shared" ref="R400" si="1071">+Q400+1</f>
        <v>2019</v>
      </c>
      <c r="S400" s="129">
        <f t="shared" ref="S400" si="1072">+R400+1</f>
        <v>2020</v>
      </c>
      <c r="T400" s="129">
        <f t="shared" ref="T400" si="1073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074">+C240/C79</f>
        <v>2.4903271192402392</v>
      </c>
      <c r="D401" s="158">
        <f t="shared" si="1074"/>
        <v>3.0642309958750737</v>
      </c>
      <c r="E401" s="158">
        <f t="shared" si="1074"/>
        <v>3.0673431734317345</v>
      </c>
      <c r="F401" s="158">
        <f t="shared" si="1074"/>
        <v>3.0955259975816207</v>
      </c>
      <c r="G401" s="158">
        <f t="shared" si="1074"/>
        <v>2.5322283609576428</v>
      </c>
      <c r="H401" s="158">
        <f t="shared" si="1074"/>
        <v>2.9725963771481654</v>
      </c>
      <c r="I401" s="158">
        <f t="shared" ref="I401:J401" si="1075">+I240/I79</f>
        <v>3.1190377436748236</v>
      </c>
      <c r="J401" s="180">
        <f t="shared" si="1075"/>
        <v>3.2558139534883721</v>
      </c>
      <c r="K401" s="181">
        <f t="shared" ref="K401" si="1076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077">+P240/P79</f>
        <v>2.8638866240039338</v>
      </c>
      <c r="Q401" s="158">
        <f t="shared" si="1077"/>
        <v>3.0215343203230143</v>
      </c>
      <c r="R401" s="158">
        <f t="shared" si="1077"/>
        <v>3.1049382716049378</v>
      </c>
      <c r="S401" s="158">
        <f t="shared" si="1077"/>
        <v>2.9331256925518856</v>
      </c>
      <c r="T401" s="158">
        <f t="shared" si="1077"/>
        <v>2.4193409123614913</v>
      </c>
      <c r="U401" s="158">
        <f t="shared" si="1077"/>
        <v>2.9058062633728849</v>
      </c>
      <c r="V401" s="158">
        <f t="shared" si="1077"/>
        <v>2.8911621450578124</v>
      </c>
      <c r="W401" s="180">
        <f t="shared" si="1077"/>
        <v>3.2099637274098805</v>
      </c>
      <c r="X401" s="181">
        <f t="shared" ref="X401" si="1078">+X240/X79</f>
        <v>3.4495087999444571</v>
      </c>
      <c r="Y401" s="147">
        <f t="shared" ref="Y401:Y403" si="1079">+X401/W401-1</f>
        <v>7.4625476446696704E-2</v>
      </c>
      <c r="Z401" s="127">
        <f t="shared" ref="Z401:Z403" si="1080">+POWER(X401/S401,0.2)-1</f>
        <v>3.2964310406835784E-2</v>
      </c>
    </row>
    <row r="402" spans="1:26" x14ac:dyDescent="0.25">
      <c r="A402" s="133" t="s">
        <v>11</v>
      </c>
      <c r="B402" s="158">
        <f t="shared" ref="B402:G402" si="1081">+B241/B80</f>
        <v>2.91913856770991</v>
      </c>
      <c r="C402" s="158">
        <f t="shared" si="1081"/>
        <v>2.9116465863453813</v>
      </c>
      <c r="D402" s="158">
        <f t="shared" si="1081"/>
        <v>3.1303952748750565</v>
      </c>
      <c r="E402" s="158">
        <f t="shared" si="1081"/>
        <v>3.1154879140555058</v>
      </c>
      <c r="F402" s="158">
        <f t="shared" si="1081"/>
        <v>1.9973833406018318</v>
      </c>
      <c r="G402" s="158">
        <f t="shared" si="1081"/>
        <v>2.7854903716972683</v>
      </c>
      <c r="H402" s="158">
        <f t="shared" si="1074"/>
        <v>2.7749262536873158</v>
      </c>
      <c r="I402" s="158">
        <f t="shared" ref="I402:J412" si="1082">+I241/I80</f>
        <v>3.2785538208709943</v>
      </c>
      <c r="J402" s="180">
        <f t="shared" si="1082"/>
        <v>3.3333333333333335</v>
      </c>
      <c r="K402" s="181">
        <f t="shared" ref="K402:K403" si="1083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084">+O241/O80</f>
        <v>2.8623379508977975</v>
      </c>
      <c r="P402" s="158">
        <f t="shared" si="1084"/>
        <v>2.8618414656622679</v>
      </c>
      <c r="Q402" s="158">
        <f t="shared" si="1084"/>
        <v>3.0331087860111792</v>
      </c>
      <c r="R402" s="158">
        <f t="shared" si="1084"/>
        <v>3.1040282566647046</v>
      </c>
      <c r="S402" s="158">
        <f t="shared" si="1084"/>
        <v>2.8568011958146493</v>
      </c>
      <c r="T402" s="158">
        <f t="shared" si="1084"/>
        <v>2.4708087069338336</v>
      </c>
      <c r="U402" s="158">
        <f t="shared" si="1084"/>
        <v>2.9016672578928695</v>
      </c>
      <c r="V402" s="158">
        <f t="shared" si="1077"/>
        <v>2.9212833453285589</v>
      </c>
      <c r="W402" s="180">
        <f t="shared" si="1077"/>
        <v>3.2159022568290445</v>
      </c>
      <c r="X402" s="181">
        <f t="shared" ref="X402:X403" si="1085">+X241/X80</f>
        <v>3.4457414613056638</v>
      </c>
      <c r="Y402" s="147">
        <f t="shared" si="1079"/>
        <v>7.1469586486514025E-2</v>
      </c>
      <c r="Z402" s="127">
        <f t="shared" si="1080"/>
        <v>3.8198827169895644E-2</v>
      </c>
    </row>
    <row r="403" spans="1:26" x14ac:dyDescent="0.25">
      <c r="A403" s="133" t="s">
        <v>0</v>
      </c>
      <c r="B403" s="158">
        <f t="shared" ref="B403:G403" si="1086">+B242/B81</f>
        <v>3.1104195499415068</v>
      </c>
      <c r="C403" s="158">
        <f t="shared" si="1086"/>
        <v>3.1340805313408051</v>
      </c>
      <c r="D403" s="158">
        <f t="shared" si="1086"/>
        <v>3.3319935691318325</v>
      </c>
      <c r="E403" s="158">
        <f t="shared" si="1086"/>
        <v>3.1120903332415311</v>
      </c>
      <c r="F403" s="158">
        <f t="shared" si="1086"/>
        <v>2.443400256300726</v>
      </c>
      <c r="G403" s="158">
        <f t="shared" si="1086"/>
        <v>3.2203981837233671</v>
      </c>
      <c r="H403" s="158">
        <f t="shared" si="1074"/>
        <v>2.8857061459169668</v>
      </c>
      <c r="I403" s="158">
        <f t="shared" si="1082"/>
        <v>3.0236739586454897</v>
      </c>
      <c r="J403" s="180">
        <f t="shared" si="1082"/>
        <v>3.5467196819085487</v>
      </c>
      <c r="K403" s="181">
        <f t="shared" si="1083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087">+O242/O81</f>
        <v>2.8764367193122258</v>
      </c>
      <c r="P403" s="158">
        <f t="shared" si="1087"/>
        <v>2.8619964741242527</v>
      </c>
      <c r="Q403" s="158">
        <f t="shared" si="1087"/>
        <v>3.0474202036380276</v>
      </c>
      <c r="R403" s="158">
        <f t="shared" si="1087"/>
        <v>3.0894176445023902</v>
      </c>
      <c r="S403" s="158">
        <f t="shared" si="1087"/>
        <v>2.7978855721393039</v>
      </c>
      <c r="T403" s="158">
        <f t="shared" si="1087"/>
        <v>2.5335870707529757</v>
      </c>
      <c r="U403" s="158">
        <f t="shared" si="1087"/>
        <v>2.8791606885828416</v>
      </c>
      <c r="V403" s="158">
        <f t="shared" si="1077"/>
        <v>2.9322050727042308</v>
      </c>
      <c r="W403" s="180">
        <f t="shared" si="1077"/>
        <v>3.2637873322283975</v>
      </c>
      <c r="X403" s="181">
        <f t="shared" si="1085"/>
        <v>3.4407313052600026</v>
      </c>
      <c r="Y403" s="147">
        <f t="shared" si="1079"/>
        <v>5.4214308415369228E-2</v>
      </c>
      <c r="Z403" s="127">
        <f t="shared" si="1080"/>
        <v>4.2231420919915053E-2</v>
      </c>
    </row>
    <row r="404" spans="1:26" x14ac:dyDescent="0.25">
      <c r="A404" s="133" t="s">
        <v>1</v>
      </c>
      <c r="B404" s="158">
        <f t="shared" ref="B404:H404" si="1088">+B243/B82</f>
        <v>2.5685413536999571</v>
      </c>
      <c r="C404" s="158">
        <f t="shared" si="1088"/>
        <v>3.0035714285714281</v>
      </c>
      <c r="D404" s="158">
        <f t="shared" si="1088"/>
        <v>3.1683501683501682</v>
      </c>
      <c r="E404" s="158">
        <f t="shared" si="1088"/>
        <v>3.3371559633027523</v>
      </c>
      <c r="F404" s="158">
        <f t="shared" si="1088"/>
        <v>2.3136785393594734</v>
      </c>
      <c r="G404" s="158">
        <f t="shared" si="1088"/>
        <v>2.8618205631958089</v>
      </c>
      <c r="H404" s="158">
        <f t="shared" si="1088"/>
        <v>2.6524409657877333</v>
      </c>
      <c r="I404" s="158">
        <f t="shared" si="1082"/>
        <v>3.1760035288928097</v>
      </c>
      <c r="J404" s="180">
        <f t="shared" si="1082"/>
        <v>3.4757505773672062</v>
      </c>
      <c r="K404" s="181"/>
      <c r="L404" s="127"/>
      <c r="M404" s="2"/>
      <c r="N404" s="133" t="s">
        <v>1</v>
      </c>
      <c r="O404" s="158">
        <f t="shared" ref="O404:U404" si="1089">+O243/O82</f>
        <v>2.8758447867572876</v>
      </c>
      <c r="P404" s="158">
        <f t="shared" si="1089"/>
        <v>2.9048151509075066</v>
      </c>
      <c r="Q404" s="158">
        <f t="shared" si="1089"/>
        <v>3.0611373598223941</v>
      </c>
      <c r="R404" s="158">
        <f t="shared" si="1089"/>
        <v>3.1007624376062748</v>
      </c>
      <c r="S404" s="158">
        <f t="shared" si="1089"/>
        <v>2.705792914702752</v>
      </c>
      <c r="T404" s="158">
        <f t="shared" si="1089"/>
        <v>2.5833333333333326</v>
      </c>
      <c r="U404" s="158">
        <f t="shared" si="1089"/>
        <v>2.8569287073778478</v>
      </c>
      <c r="V404" s="158">
        <f t="shared" si="1077"/>
        <v>2.9767577149753519</v>
      </c>
      <c r="W404" s="180">
        <f t="shared" si="1077"/>
        <v>3.2878914539257926</v>
      </c>
      <c r="X404" s="181"/>
      <c r="Y404" s="147"/>
      <c r="Z404" s="127"/>
    </row>
    <row r="405" spans="1:26" x14ac:dyDescent="0.25">
      <c r="A405" s="133" t="s">
        <v>2</v>
      </c>
      <c r="B405" s="158">
        <f t="shared" ref="B405:H405" si="1090">+B244/B83</f>
        <v>2.7956427365543854</v>
      </c>
      <c r="C405" s="158">
        <f t="shared" si="1090"/>
        <v>2.999285884313259</v>
      </c>
      <c r="D405" s="158">
        <f t="shared" si="1090"/>
        <v>3.3442503639010193</v>
      </c>
      <c r="E405" s="158">
        <f t="shared" si="1090"/>
        <v>2.9491133384734001</v>
      </c>
      <c r="F405" s="158">
        <f t="shared" si="1090"/>
        <v>2.6179310344827584</v>
      </c>
      <c r="G405" s="158">
        <f t="shared" si="1090"/>
        <v>2.7906208718626155</v>
      </c>
      <c r="H405" s="158">
        <f t="shared" si="1090"/>
        <v>3.0989771966376178</v>
      </c>
      <c r="I405" s="158">
        <f t="shared" si="1082"/>
        <v>3.2986240238006697</v>
      </c>
      <c r="J405" s="180">
        <f t="shared" ref="J405" si="1091">+J244/J83</f>
        <v>3.1675269826372596</v>
      </c>
      <c r="K405" s="181"/>
      <c r="L405" s="127"/>
      <c r="M405" s="2"/>
      <c r="N405" s="133" t="s">
        <v>2</v>
      </c>
      <c r="O405" s="158">
        <f t="shared" ref="O405:U405" si="1092">+O244/O83</f>
        <v>2.8896699581854177</v>
      </c>
      <c r="P405" s="158">
        <f t="shared" si="1092"/>
        <v>2.9254894198637169</v>
      </c>
      <c r="Q405" s="158">
        <f t="shared" si="1092"/>
        <v>3.0919509515750718</v>
      </c>
      <c r="R405" s="158">
        <f t="shared" si="1092"/>
        <v>3.0714993940729314</v>
      </c>
      <c r="S405" s="158">
        <f t="shared" si="1092"/>
        <v>2.6777921924755281</v>
      </c>
      <c r="T405" s="158">
        <f t="shared" si="1092"/>
        <v>2.5979663782303413</v>
      </c>
      <c r="U405" s="158">
        <f t="shared" si="1092"/>
        <v>2.8825154682479854</v>
      </c>
      <c r="V405" s="158">
        <f t="shared" si="1077"/>
        <v>2.9860810460588447</v>
      </c>
      <c r="W405" s="180">
        <f t="shared" ref="W405:W412" si="1093">+W244/W83</f>
        <v>3.2785489785227862</v>
      </c>
      <c r="X405" s="181"/>
      <c r="Y405" s="147"/>
      <c r="Z405" s="127"/>
    </row>
    <row r="406" spans="1:26" x14ac:dyDescent="0.25">
      <c r="A406" s="133" t="s">
        <v>3</v>
      </c>
      <c r="B406" s="158">
        <f t="shared" ref="B406:H413" si="1094">+B245/B84</f>
        <v>2.7023150777195228</v>
      </c>
      <c r="C406" s="158">
        <f t="shared" si="1094"/>
        <v>2.7646416878865043</v>
      </c>
      <c r="D406" s="158">
        <f t="shared" si="1094"/>
        <v>3.125393824826717</v>
      </c>
      <c r="E406" s="158">
        <f t="shared" si="1094"/>
        <v>3.0255474452554743</v>
      </c>
      <c r="F406" s="158">
        <f t="shared" si="1094"/>
        <v>2.4251726784343823</v>
      </c>
      <c r="G406" s="158">
        <f t="shared" si="1094"/>
        <v>3.0772495755517824</v>
      </c>
      <c r="H406" s="158">
        <f t="shared" si="1094"/>
        <v>2.4857844416195283</v>
      </c>
      <c r="I406" s="158">
        <f t="shared" si="1082"/>
        <v>3.0228531855955678</v>
      </c>
      <c r="J406" s="180">
        <f t="shared" ref="J406:J412" si="1095">+J245/J84</f>
        <v>3.2437275985663079</v>
      </c>
      <c r="K406" s="181"/>
      <c r="L406" s="127"/>
      <c r="M406" s="2"/>
      <c r="N406" s="133" t="s">
        <v>3</v>
      </c>
      <c r="O406" s="158">
        <f t="shared" ref="O406:U406" si="1096">+O245/O84</f>
        <v>2.8731972522583162</v>
      </c>
      <c r="P406" s="158">
        <f t="shared" si="1096"/>
        <v>2.9369198124840192</v>
      </c>
      <c r="Q406" s="158">
        <f t="shared" si="1096"/>
        <v>3.1214449070544772</v>
      </c>
      <c r="R406" s="158">
        <f t="shared" si="1096"/>
        <v>3.0632212744606111</v>
      </c>
      <c r="S406" s="158">
        <f t="shared" si="1096"/>
        <v>2.6300988692202951</v>
      </c>
      <c r="T406" s="158">
        <f t="shared" si="1096"/>
        <v>2.6723215020999751</v>
      </c>
      <c r="U406" s="158">
        <f t="shared" si="1096"/>
        <v>2.8167353211164401</v>
      </c>
      <c r="V406" s="158">
        <f t="shared" si="1077"/>
        <v>3.0607119446796447</v>
      </c>
      <c r="W406" s="180">
        <f t="shared" si="1093"/>
        <v>3.3006557815845823</v>
      </c>
      <c r="X406" s="181"/>
      <c r="Y406" s="147"/>
      <c r="Z406" s="127"/>
    </row>
    <row r="407" spans="1:26" x14ac:dyDescent="0.25">
      <c r="A407" s="133" t="s">
        <v>4</v>
      </c>
      <c r="B407" s="158">
        <f t="shared" ref="B407:F407" si="1097">+B246/B85</f>
        <v>2.8808677614977083</v>
      </c>
      <c r="C407" s="158">
        <f t="shared" si="1097"/>
        <v>2.9028597367226507</v>
      </c>
      <c r="D407" s="158">
        <f t="shared" si="1097"/>
        <v>2.9173290937996819</v>
      </c>
      <c r="E407" s="158">
        <f t="shared" si="1097"/>
        <v>3.1328806983511153</v>
      </c>
      <c r="F407" s="158">
        <f t="shared" si="1097"/>
        <v>1.5304396843291996</v>
      </c>
      <c r="G407" s="158">
        <f t="shared" si="1094"/>
        <v>2.4910957469097004</v>
      </c>
      <c r="H407" s="158">
        <f t="shared" ref="H407" si="1098">+H246/H85</f>
        <v>3.032169499485216</v>
      </c>
      <c r="I407" s="158">
        <f t="shared" si="1082"/>
        <v>3.3029861616897307</v>
      </c>
      <c r="J407" s="180">
        <f t="shared" si="1095"/>
        <v>3.4366925064599485</v>
      </c>
      <c r="K407" s="181"/>
      <c r="L407" s="127"/>
      <c r="M407" s="2"/>
      <c r="N407" s="133" t="s">
        <v>4</v>
      </c>
      <c r="O407" s="158">
        <f t="shared" ref="O407:U407" si="1099">+O246/O85</f>
        <v>2.8634379784779482</v>
      </c>
      <c r="P407" s="158">
        <f t="shared" si="1099"/>
        <v>2.9374559789075643</v>
      </c>
      <c r="Q407" s="158">
        <f t="shared" si="1099"/>
        <v>3.1125312586829672</v>
      </c>
      <c r="R407" s="158">
        <f t="shared" si="1099"/>
        <v>3.0978976038192001</v>
      </c>
      <c r="S407" s="158">
        <f t="shared" si="1099"/>
        <v>2.4707188129801092</v>
      </c>
      <c r="T407" s="158">
        <f t="shared" si="1099"/>
        <v>2.7569448133000476</v>
      </c>
      <c r="U407" s="158">
        <f t="shared" si="1099"/>
        <v>2.869076807252176</v>
      </c>
      <c r="V407" s="158">
        <f t="shared" si="1077"/>
        <v>3.0819567365600249</v>
      </c>
      <c r="W407" s="180">
        <f t="shared" si="1093"/>
        <v>3.3143726436933654</v>
      </c>
      <c r="X407" s="181"/>
      <c r="Y407" s="147"/>
      <c r="Z407" s="127"/>
    </row>
    <row r="408" spans="1:26" x14ac:dyDescent="0.25">
      <c r="A408" s="133" t="s">
        <v>5</v>
      </c>
      <c r="B408" s="158">
        <f t="shared" ref="B408:F408" si="1100">+B247/B86</f>
        <v>2.7977395082774823</v>
      </c>
      <c r="C408" s="158">
        <f t="shared" si="1100"/>
        <v>2.9914703493095045</v>
      </c>
      <c r="D408" s="158">
        <f t="shared" si="1100"/>
        <v>3.023049645390071</v>
      </c>
      <c r="E408" s="158">
        <f t="shared" si="1100"/>
        <v>2.8937183685620722</v>
      </c>
      <c r="F408" s="158">
        <f t="shared" si="1100"/>
        <v>2.3955600403632697</v>
      </c>
      <c r="G408" s="158">
        <f t="shared" si="1094"/>
        <v>3.0437387657279809</v>
      </c>
      <c r="H408" s="158">
        <f t="shared" ref="H408" si="1101">+H247/H86</f>
        <v>3.0312593124632281</v>
      </c>
      <c r="I408" s="158">
        <f t="shared" si="1082"/>
        <v>3.2150101419878294</v>
      </c>
      <c r="J408" s="180">
        <f t="shared" si="1095"/>
        <v>3.3477237048665618</v>
      </c>
      <c r="K408" s="181"/>
      <c r="L408" s="127"/>
      <c r="M408" s="2"/>
      <c r="N408" s="133" t="s">
        <v>5</v>
      </c>
      <c r="O408" s="158">
        <f t="shared" ref="O408:U408" si="1102">+O247/O86</f>
        <v>2.8537792175002767</v>
      </c>
      <c r="P408" s="158">
        <f t="shared" si="1102"/>
        <v>2.9668286581450509</v>
      </c>
      <c r="Q408" s="158">
        <f t="shared" si="1102"/>
        <v>3.1210449927431059</v>
      </c>
      <c r="R408" s="158">
        <f t="shared" si="1102"/>
        <v>3.0846502511331613</v>
      </c>
      <c r="S408" s="158">
        <f t="shared" si="1102"/>
        <v>2.4206736806854021</v>
      </c>
      <c r="T408" s="158">
        <f t="shared" si="1102"/>
        <v>2.8331992119210812</v>
      </c>
      <c r="U408" s="158">
        <f t="shared" si="1102"/>
        <v>2.874671572281021</v>
      </c>
      <c r="V408" s="158">
        <f t="shared" si="1077"/>
        <v>3.1011995651324535</v>
      </c>
      <c r="W408" s="180">
        <f t="shared" si="1093"/>
        <v>3.3270752313262704</v>
      </c>
      <c r="X408" s="181"/>
      <c r="Y408" s="147"/>
      <c r="Z408" s="127"/>
    </row>
    <row r="409" spans="1:26" x14ac:dyDescent="0.25">
      <c r="A409" s="133" t="s">
        <v>6</v>
      </c>
      <c r="B409" s="158">
        <f t="shared" ref="B409:F409" si="1103">+B248/B87</f>
        <v>3.2842282822603317</v>
      </c>
      <c r="C409" s="158">
        <f t="shared" si="1103"/>
        <v>2.948051948051948</v>
      </c>
      <c r="D409" s="158">
        <f t="shared" si="1103"/>
        <v>3.2284040995607612</v>
      </c>
      <c r="E409" s="158">
        <f t="shared" si="1103"/>
        <v>2.5771018166455431</v>
      </c>
      <c r="F409" s="158">
        <f t="shared" si="1103"/>
        <v>1.8770614692653673</v>
      </c>
      <c r="G409" s="158">
        <f t="shared" si="1094"/>
        <v>2.8142543324383698</v>
      </c>
      <c r="H409" s="158">
        <f t="shared" ref="H409:H412" si="1104">+H248/H87</f>
        <v>2.6992878319589346</v>
      </c>
      <c r="I409" s="158">
        <f t="shared" si="1082"/>
        <v>3.3729216152019004</v>
      </c>
      <c r="J409" s="180">
        <f t="shared" si="1095"/>
        <v>3.9598321342925655</v>
      </c>
      <c r="K409" s="181"/>
      <c r="L409" s="127"/>
      <c r="M409" s="2"/>
      <c r="N409" s="133" t="s">
        <v>6</v>
      </c>
      <c r="O409" s="158">
        <f t="shared" ref="O409:U409" si="1105">+O248/O87</f>
        <v>2.8490013770501323</v>
      </c>
      <c r="P409" s="158">
        <f t="shared" si="1105"/>
        <v>2.943487774046289</v>
      </c>
      <c r="Q409" s="158">
        <f t="shared" si="1105"/>
        <v>3.1409153475567795</v>
      </c>
      <c r="R409" s="158">
        <f t="shared" si="1105"/>
        <v>3.0352773562114779</v>
      </c>
      <c r="S409" s="158">
        <f t="shared" si="1105"/>
        <v>2.3613488763892287</v>
      </c>
      <c r="T409" s="158">
        <f t="shared" si="1105"/>
        <v>2.9177423299546184</v>
      </c>
      <c r="U409" s="158">
        <f t="shared" si="1105"/>
        <v>2.863559907486493</v>
      </c>
      <c r="V409" s="158">
        <f t="shared" si="1077"/>
        <v>3.1751301469110933</v>
      </c>
      <c r="W409" s="180">
        <f t="shared" si="1093"/>
        <v>3.3919314852377731</v>
      </c>
      <c r="X409" s="181"/>
      <c r="Y409" s="147"/>
      <c r="Z409" s="127"/>
    </row>
    <row r="410" spans="1:26" x14ac:dyDescent="0.25">
      <c r="A410" s="133" t="s">
        <v>7</v>
      </c>
      <c r="B410" s="158">
        <f t="shared" ref="B410:F410" si="1106">+B249/B88</f>
        <v>2.8227115909441989</v>
      </c>
      <c r="C410" s="158">
        <f t="shared" si="1106"/>
        <v>3.3080999242997731</v>
      </c>
      <c r="D410" s="158">
        <f t="shared" si="1106"/>
        <v>3.2201646090534974</v>
      </c>
      <c r="E410" s="158">
        <f t="shared" si="1106"/>
        <v>2.8593604470661287</v>
      </c>
      <c r="F410" s="158">
        <f t="shared" si="1106"/>
        <v>2.9818840579710142</v>
      </c>
      <c r="G410" s="158">
        <f t="shared" si="1094"/>
        <v>3.2005141388174811</v>
      </c>
      <c r="H410" s="158">
        <f t="shared" si="1104"/>
        <v>2.7314254282670478</v>
      </c>
      <c r="I410" s="158">
        <f t="shared" si="1082"/>
        <v>3.37296345222369</v>
      </c>
      <c r="J410" s="180">
        <f t="shared" si="1095"/>
        <v>3.4318433690432215</v>
      </c>
      <c r="K410" s="181"/>
      <c r="L410" s="127"/>
      <c r="M410" s="2"/>
      <c r="N410" s="133" t="s">
        <v>7</v>
      </c>
      <c r="O410" s="158">
        <f t="shared" ref="O410:U410" si="1107">+O249/O88</f>
        <v>2.8443769354594437</v>
      </c>
      <c r="P410" s="158">
        <f t="shared" si="1107"/>
        <v>2.9805901935338266</v>
      </c>
      <c r="Q410" s="158">
        <f t="shared" si="1107"/>
        <v>3.1349228930746031</v>
      </c>
      <c r="R410" s="158">
        <f t="shared" si="1107"/>
        <v>3.0013500245459008</v>
      </c>
      <c r="S410" s="158">
        <f t="shared" si="1107"/>
        <v>2.3643368189323066</v>
      </c>
      <c r="T410" s="158">
        <f t="shared" si="1107"/>
        <v>2.9366638852251623</v>
      </c>
      <c r="U410" s="158">
        <f t="shared" si="1107"/>
        <v>2.8329695137206974</v>
      </c>
      <c r="V410" s="158">
        <f t="shared" si="1077"/>
        <v>3.2348768218754032</v>
      </c>
      <c r="W410" s="180">
        <f t="shared" si="1093"/>
        <v>3.3967296396253368</v>
      </c>
      <c r="X410" s="181"/>
      <c r="Y410" s="147"/>
      <c r="Z410" s="127"/>
    </row>
    <row r="411" spans="1:26" x14ac:dyDescent="0.25">
      <c r="A411" s="133" t="s">
        <v>8</v>
      </c>
      <c r="B411" s="158">
        <f t="shared" ref="B411:F411" si="1108">+B250/B89</f>
        <v>3.1906218144750254</v>
      </c>
      <c r="C411" s="158">
        <f t="shared" si="1108"/>
        <v>3.0247933884297522</v>
      </c>
      <c r="D411" s="158">
        <f t="shared" si="1108"/>
        <v>3.0651649235720035</v>
      </c>
      <c r="E411" s="158">
        <f t="shared" si="1108"/>
        <v>2.4903846153846154</v>
      </c>
      <c r="F411" s="158">
        <f t="shared" si="1108"/>
        <v>3.4469873890705274</v>
      </c>
      <c r="G411" s="158">
        <f t="shared" si="1094"/>
        <v>2.9375351716375917</v>
      </c>
      <c r="H411" s="158">
        <f t="shared" si="1104"/>
        <v>3.4444013948082142</v>
      </c>
      <c r="I411" s="158">
        <f t="shared" si="1082"/>
        <v>3.1115618661257609</v>
      </c>
      <c r="J411" s="180">
        <f t="shared" si="1095"/>
        <v>3.6402027027027026</v>
      </c>
      <c r="K411" s="181"/>
      <c r="L411" s="127"/>
      <c r="M411" s="2"/>
      <c r="N411" s="133" t="s">
        <v>8</v>
      </c>
      <c r="O411" s="158">
        <f t="shared" ref="O411:U411" si="1109">+O250/O89</f>
        <v>2.8582196718453798</v>
      </c>
      <c r="P411" s="158">
        <f t="shared" si="1109"/>
        <v>2.9720922459893049</v>
      </c>
      <c r="Q411" s="158">
        <f t="shared" si="1109"/>
        <v>3.1375667386118371</v>
      </c>
      <c r="R411" s="158">
        <f t="shared" si="1109"/>
        <v>2.9634002361275091</v>
      </c>
      <c r="S411" s="158">
        <f t="shared" si="1109"/>
        <v>2.4208126150380487</v>
      </c>
      <c r="T411" s="158">
        <f t="shared" si="1109"/>
        <v>2.9084119904574219</v>
      </c>
      <c r="U411" s="158">
        <f t="shared" si="1109"/>
        <v>2.8586558381288878</v>
      </c>
      <c r="V411" s="158">
        <f t="shared" si="1077"/>
        <v>3.2075349559813566</v>
      </c>
      <c r="W411" s="180">
        <f t="shared" si="1093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110">+B251/B90</f>
        <v>3.2261640798226163</v>
      </c>
      <c r="C412" s="158">
        <f t="shared" si="1110"/>
        <v>3.3725305738476008</v>
      </c>
      <c r="D412" s="158">
        <f t="shared" si="1110"/>
        <v>2.8324531925108012</v>
      </c>
      <c r="E412" s="158">
        <f t="shared" si="1110"/>
        <v>2.4974789915966387</v>
      </c>
      <c r="F412" s="158">
        <f t="shared" si="1110"/>
        <v>3.4090909090909092</v>
      </c>
      <c r="G412" s="158">
        <f t="shared" si="1094"/>
        <v>2.8496794110662553</v>
      </c>
      <c r="H412" s="158">
        <f t="shared" si="1104"/>
        <v>3.311827956989247</v>
      </c>
      <c r="I412" s="158">
        <f t="shared" si="1082"/>
        <v>3.2063837504533912</v>
      </c>
      <c r="J412" s="180">
        <f t="shared" si="1095"/>
        <v>3.349514563106796</v>
      </c>
      <c r="K412" s="181"/>
      <c r="L412" s="127"/>
      <c r="M412" s="2"/>
      <c r="N412" s="133" t="s">
        <v>9</v>
      </c>
      <c r="O412" s="158">
        <f t="shared" ref="O412:U412" si="1111">+O251/O90</f>
        <v>2.8883741546977446</v>
      </c>
      <c r="P412" s="158">
        <f t="shared" si="1111"/>
        <v>2.9767297021854833</v>
      </c>
      <c r="Q412" s="158">
        <f t="shared" si="1111"/>
        <v>3.1052915920270694</v>
      </c>
      <c r="R412" s="158">
        <f t="shared" si="1111"/>
        <v>2.9297418223592722</v>
      </c>
      <c r="S412" s="158">
        <f t="shared" si="1111"/>
        <v>2.4602042562902953</v>
      </c>
      <c r="T412" s="158">
        <f t="shared" si="1111"/>
        <v>2.8825916834763166</v>
      </c>
      <c r="U412" s="158">
        <f t="shared" si="1111"/>
        <v>2.8828646885022673</v>
      </c>
      <c r="V412" s="158">
        <f t="shared" si="1077"/>
        <v>3.1996935648621041</v>
      </c>
      <c r="W412" s="180">
        <f t="shared" si="1093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112">+B252/B91</f>
        <v>2.8883741546977451</v>
      </c>
      <c r="C413" s="182">
        <f t="shared" si="1112"/>
        <v>2.9767297021854833</v>
      </c>
      <c r="D413" s="182">
        <f t="shared" si="1112"/>
        <v>3.1052915920270694</v>
      </c>
      <c r="E413" s="182">
        <f t="shared" si="1112"/>
        <v>2.9297418223592722</v>
      </c>
      <c r="F413" s="182">
        <f t="shared" si="1112"/>
        <v>2.4602042562902953</v>
      </c>
      <c r="G413" s="182">
        <f t="shared" si="1094"/>
        <v>2.8825916834763166</v>
      </c>
      <c r="H413" s="182">
        <f t="shared" ref="H413" si="1113">+H252/H91</f>
        <v>2.8828646885022673</v>
      </c>
      <c r="I413" s="182">
        <f t="shared" ref="I413" si="1114">+I252/I91</f>
        <v>3.1996935648621041</v>
      </c>
      <c r="J413" s="183">
        <f t="shared" ref="J413" si="1115">+J252/J91</f>
        <v>3.4447945251888736</v>
      </c>
      <c r="K413" s="183"/>
      <c r="L413" s="137"/>
      <c r="M413" s="3"/>
      <c r="N413" s="134" t="s">
        <v>14</v>
      </c>
      <c r="O413" s="182">
        <f t="shared" ref="O413:W413" si="1116">+O252/O91</f>
        <v>2.8652529999006568</v>
      </c>
      <c r="P413" s="182">
        <f t="shared" si="1116"/>
        <v>2.9271654908285916</v>
      </c>
      <c r="Q413" s="182">
        <f t="shared" si="1116"/>
        <v>3.0942082927424734</v>
      </c>
      <c r="R413" s="182">
        <f t="shared" si="1116"/>
        <v>3.0556101347499665</v>
      </c>
      <c r="S413" s="182">
        <f t="shared" si="1116"/>
        <v>2.5845262522631263</v>
      </c>
      <c r="T413" s="182">
        <f t="shared" si="1116"/>
        <v>2.7163489550131272</v>
      </c>
      <c r="U413" s="182">
        <f t="shared" si="1116"/>
        <v>2.8679081209978312</v>
      </c>
      <c r="V413" s="182">
        <f t="shared" si="1116"/>
        <v>3.0475882816591287</v>
      </c>
      <c r="W413" s="183">
        <f t="shared" si="1116"/>
        <v>3.3210760964828707</v>
      </c>
      <c r="X413" s="183">
        <f t="shared" ref="X413" si="1117">+X252/X91</f>
        <v>3.4454387123896457</v>
      </c>
      <c r="Y413" s="149">
        <f>+X413/W413-1</f>
        <v>3.7446481891360239E-2</v>
      </c>
      <c r="Z413" s="156">
        <f>+POWER(X413/S413,0.2)-1</f>
        <v>5.9187181585425019E-2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118">+C413/C$485</f>
        <v>0.78915128879839558</v>
      </c>
      <c r="D414" s="138">
        <f t="shared" ref="D414" si="1119">+D413/D$485</f>
        <v>0.81624676417185704</v>
      </c>
      <c r="E414" s="138">
        <f t="shared" ref="E414" si="1120">+E413/E$485</f>
        <v>0.86156352509329825</v>
      </c>
      <c r="F414" s="138">
        <f t="shared" ref="F414:G414" si="1121">+F413/F$485</f>
        <v>0.89474292726540916</v>
      </c>
      <c r="G414" s="138">
        <f t="shared" si="1121"/>
        <v>0.94240679830179064</v>
      </c>
      <c r="H414" s="138">
        <f t="shared" ref="H414" si="1122">+H413/H$485</f>
        <v>0.8874468047357007</v>
      </c>
      <c r="I414" s="138">
        <f t="shared" ref="I414" si="1123">+I413/I$485</f>
        <v>0.9052368449414725</v>
      </c>
      <c r="J414" s="139">
        <f t="shared" ref="J414" si="1124">+J413/J$485</f>
        <v>0.97021740608235629</v>
      </c>
      <c r="K414" s="139"/>
      <c r="L414" s="140"/>
      <c r="M414" s="3"/>
      <c r="N414" s="135" t="s">
        <v>15</v>
      </c>
      <c r="O414" s="138">
        <f t="shared" ref="O414" si="1125">+O413/O$485</f>
        <v>0.8404433227884186</v>
      </c>
      <c r="P414" s="138">
        <f t="shared" ref="P414" si="1126">+P413/P$485</f>
        <v>0.80954065763748584</v>
      </c>
      <c r="Q414" s="138">
        <f t="shared" ref="Q414" si="1127">+Q413/Q$485</f>
        <v>0.80179243384400212</v>
      </c>
      <c r="R414" s="138">
        <f t="shared" ref="R414" si="1128">+R413/R$485</f>
        <v>0.85116661000461424</v>
      </c>
      <c r="S414" s="138">
        <f t="shared" ref="S414:W414" si="1129">+S413/S$485</f>
        <v>0.86095025686358373</v>
      </c>
      <c r="T414" s="138">
        <f t="shared" si="1129"/>
        <v>0.93746143000254878</v>
      </c>
      <c r="U414" s="138">
        <f t="shared" si="1129"/>
        <v>0.91144604451800926</v>
      </c>
      <c r="V414" s="138">
        <f t="shared" si="1129"/>
        <v>0.89513045986188589</v>
      </c>
      <c r="W414" s="139">
        <f t="shared" si="1129"/>
        <v>0.93699072506038295</v>
      </c>
      <c r="X414" s="139">
        <f t="shared" ref="X414" si="1130">+X413/X$485</f>
        <v>0.9657607617555487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131">+D413/C413-1</f>
        <v>4.3188970012022709E-2</v>
      </c>
      <c r="E415" s="142">
        <f t="shared" ref="E415" si="1132">+E413/D413-1</f>
        <v>-5.6532459018833081E-2</v>
      </c>
      <c r="F415" s="142">
        <f t="shared" ref="F415:J415" si="1133">+F413/E413-1</f>
        <v>-0.16026585089701395</v>
      </c>
      <c r="G415" s="142">
        <f t="shared" si="1133"/>
        <v>0.17168795074882648</v>
      </c>
      <c r="H415" s="142">
        <f t="shared" si="1133"/>
        <v>9.4708184830816222E-5</v>
      </c>
      <c r="I415" s="142">
        <f t="shared" si="1133"/>
        <v>0.10990071009001778</v>
      </c>
      <c r="J415" s="143">
        <f t="shared" si="1133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134">+Q413/P413-1</f>
        <v>5.7066401758718799E-2</v>
      </c>
      <c r="R415" s="142">
        <f t="shared" ref="R415" si="1135">+R413/Q413-1</f>
        <v>-1.2474324396014258E-2</v>
      </c>
      <c r="S415" s="142">
        <f t="shared" ref="S415" si="1136">+S413/R413-1</f>
        <v>-0.15417015316497107</v>
      </c>
      <c r="T415" s="142">
        <f t="shared" ref="T415" si="1137">+T413/S413-1</f>
        <v>5.1004590351740875E-2</v>
      </c>
      <c r="U415" s="142">
        <f t="shared" ref="U415" si="1138">+U413/T413-1</f>
        <v>5.5795175249849782E-2</v>
      </c>
      <c r="V415" s="142">
        <f t="shared" ref="V415" si="1139">+V413/U413-1</f>
        <v>6.2651993397466743E-2</v>
      </c>
      <c r="W415" s="143">
        <f t="shared" ref="W415:X415" si="1140">+W413/V413-1</f>
        <v>8.9739095162438831E-2</v>
      </c>
      <c r="X415" s="143">
        <f t="shared" si="1140"/>
        <v>3.7446481891360239E-2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47" t="s">
        <v>92</v>
      </c>
      <c r="B417" s="348"/>
      <c r="C417" s="348"/>
      <c r="D417" s="348"/>
      <c r="E417" s="348"/>
      <c r="F417" s="348"/>
      <c r="G417" s="348"/>
      <c r="H417" s="348"/>
      <c r="I417" s="348"/>
      <c r="J417" s="348"/>
      <c r="K417" s="348"/>
      <c r="L417" s="349"/>
      <c r="M417" s="2"/>
      <c r="N417" s="347" t="s">
        <v>93</v>
      </c>
      <c r="O417" s="348"/>
      <c r="P417" s="348"/>
      <c r="Q417" s="348"/>
      <c r="R417" s="348"/>
      <c r="S417" s="348"/>
      <c r="T417" s="348"/>
      <c r="U417" s="348"/>
      <c r="V417" s="348"/>
      <c r="W417" s="348"/>
      <c r="X417" s="348"/>
      <c r="Y417" s="348"/>
      <c r="Z417" s="34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141">+C418+1</f>
        <v>2018</v>
      </c>
      <c r="E418" s="129">
        <f t="shared" ref="E418" si="1142">+D418+1</f>
        <v>2019</v>
      </c>
      <c r="F418" s="129">
        <f t="shared" ref="F418" si="1143">+E418+1</f>
        <v>2020</v>
      </c>
      <c r="G418" s="129">
        <f t="shared" ref="G418" si="1144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145">+P418+1</f>
        <v>2018</v>
      </c>
      <c r="R418" s="129">
        <f t="shared" ref="R418" si="1146">+Q418+1</f>
        <v>2019</v>
      </c>
      <c r="S418" s="129">
        <f t="shared" ref="S418" si="1147">+R418+1</f>
        <v>2020</v>
      </c>
      <c r="T418" s="129">
        <f t="shared" ref="T418" si="1148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149">+C258/C97</f>
        <v>3.4475597092419523</v>
      </c>
      <c r="D419" s="158">
        <f t="shared" si="1149"/>
        <v>3.6494642197314944</v>
      </c>
      <c r="E419" s="158">
        <f t="shared" si="1149"/>
        <v>2.8140439398717545</v>
      </c>
      <c r="F419" s="158">
        <f t="shared" si="1149"/>
        <v>2.324437636055793</v>
      </c>
      <c r="G419" s="158">
        <f t="shared" si="1149"/>
        <v>4.1324849448926262</v>
      </c>
      <c r="H419" s="158">
        <f t="shared" si="1149"/>
        <v>1.9325210871602623</v>
      </c>
      <c r="I419" s="158">
        <f t="shared" ref="I419:J419" si="1150">+I258/I97</f>
        <v>4.0295078002176803</v>
      </c>
      <c r="J419" s="180">
        <f t="shared" si="1150"/>
        <v>3.8907849829351533</v>
      </c>
      <c r="K419" s="181">
        <f t="shared" ref="K419" si="1151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152">+P258/P97</f>
        <v>3.2744682758223504</v>
      </c>
      <c r="Q419" s="158">
        <f t="shared" si="1152"/>
        <v>3.5000296906237023</v>
      </c>
      <c r="R419" s="158">
        <f t="shared" si="1152"/>
        <v>3.5346520476209959</v>
      </c>
      <c r="S419" s="158">
        <f t="shared" si="1152"/>
        <v>2.9833466270272884</v>
      </c>
      <c r="T419" s="158">
        <f t="shared" si="1152"/>
        <v>2.576376559629928</v>
      </c>
      <c r="U419" s="158">
        <f t="shared" si="1152"/>
        <v>2.5922130594942105</v>
      </c>
      <c r="V419" s="158">
        <f t="shared" si="1152"/>
        <v>3.0012726512239762</v>
      </c>
      <c r="W419" s="180">
        <f t="shared" si="1152"/>
        <v>4.1261240880040724</v>
      </c>
      <c r="X419" s="181">
        <f t="shared" ref="X419" si="1153">+X258/X97</f>
        <v>4.098159901179879</v>
      </c>
      <c r="Y419" s="147">
        <f t="shared" ref="Y419:Y421" si="1154">+X419/W419-1</f>
        <v>-6.7773499361044598E-3</v>
      </c>
      <c r="Z419" s="127">
        <f t="shared" ref="Z419:Z421" si="1155">+POWER(X419/S419,0.2)-1</f>
        <v>6.5557859499263849E-2</v>
      </c>
    </row>
    <row r="420" spans="1:26" x14ac:dyDescent="0.25">
      <c r="A420" s="133" t="s">
        <v>11</v>
      </c>
      <c r="B420" s="158">
        <f t="shared" ref="B420:G420" si="1156">+B259/B98</f>
        <v>3.1011565359456021</v>
      </c>
      <c r="C420" s="158">
        <f t="shared" si="1156"/>
        <v>3.3882949809748149</v>
      </c>
      <c r="D420" s="158">
        <f t="shared" si="1156"/>
        <v>3.0322755627881746</v>
      </c>
      <c r="E420" s="158">
        <f t="shared" si="1156"/>
        <v>2.8629524196827978</v>
      </c>
      <c r="F420" s="158">
        <f t="shared" si="1156"/>
        <v>2.5644028103044496</v>
      </c>
      <c r="G420" s="158">
        <f t="shared" si="1156"/>
        <v>2.4827403080191188</v>
      </c>
      <c r="H420" s="158">
        <f t="shared" si="1149"/>
        <v>2.3662830416732357</v>
      </c>
      <c r="I420" s="158">
        <f>+I259/I98</f>
        <v>3.3932542624166051</v>
      </c>
      <c r="J420" s="180">
        <f t="shared" ref="J420:K421" si="1157">+J259/J98</f>
        <v>3.6011602610587383</v>
      </c>
      <c r="K420" s="181">
        <f t="shared" si="1157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158">+O259/O98</f>
        <v>3.2040132526993967</v>
      </c>
      <c r="P420" s="158">
        <f t="shared" si="1158"/>
        <v>3.2918659442046434</v>
      </c>
      <c r="Q420" s="158">
        <f t="shared" si="1158"/>
        <v>3.4725016278414338</v>
      </c>
      <c r="R420" s="158">
        <f t="shared" si="1158"/>
        <v>3.5218614165175151</v>
      </c>
      <c r="S420" s="158">
        <f t="shared" si="1158"/>
        <v>2.9539125809580429</v>
      </c>
      <c r="T420" s="158">
        <f t="shared" si="1158"/>
        <v>2.5707010277649949</v>
      </c>
      <c r="U420" s="158">
        <f t="shared" si="1158"/>
        <v>2.5763575363459394</v>
      </c>
      <c r="V420" s="158">
        <f t="shared" si="1152"/>
        <v>3.1052640946203596</v>
      </c>
      <c r="W420" s="180">
        <f t="shared" si="1152"/>
        <v>4.1298496173696382</v>
      </c>
      <c r="X420" s="181">
        <f t="shared" ref="X420:X421" si="1159">+X259/X98</f>
        <v>4.1184290937161601</v>
      </c>
      <c r="Y420" s="147">
        <f t="shared" si="1154"/>
        <v>-2.7653606575515077E-3</v>
      </c>
      <c r="Z420" s="127">
        <f t="shared" si="1155"/>
        <v>6.872702343678605E-2</v>
      </c>
    </row>
    <row r="421" spans="1:26" x14ac:dyDescent="0.25">
      <c r="A421" s="133" t="s">
        <v>0</v>
      </c>
      <c r="B421" s="158">
        <f t="shared" ref="B421:G421" si="1160">+B260/B99</f>
        <v>3.0566685272769258</v>
      </c>
      <c r="C421" s="158">
        <f t="shared" si="1160"/>
        <v>3.1610123855681209</v>
      </c>
      <c r="D421" s="158">
        <f t="shared" si="1160"/>
        <v>3.4825688073394496</v>
      </c>
      <c r="E421" s="158">
        <f t="shared" si="1160"/>
        <v>3.6346222913923141</v>
      </c>
      <c r="F421" s="158">
        <f t="shared" si="1160"/>
        <v>2.9294346137246441</v>
      </c>
      <c r="G421" s="158">
        <f t="shared" si="1160"/>
        <v>2.920651924401255</v>
      </c>
      <c r="H421" s="158">
        <f t="shared" si="1149"/>
        <v>2.5783859279800825</v>
      </c>
      <c r="I421" s="158">
        <f>+I260/I99</f>
        <v>4.1508070344495298</v>
      </c>
      <c r="J421" s="180">
        <f t="shared" ref="J421" si="1161">+J260/J99</f>
        <v>4.3820007724990342</v>
      </c>
      <c r="K421" s="181">
        <f t="shared" si="1157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162">+O260/O99</f>
        <v>3.1808676329017245</v>
      </c>
      <c r="P421" s="158">
        <f t="shared" si="1162"/>
        <v>3.3012232452478747</v>
      </c>
      <c r="Q421" s="158">
        <f t="shared" si="1162"/>
        <v>3.5017241887470898</v>
      </c>
      <c r="R421" s="158">
        <f t="shared" si="1162"/>
        <v>3.534756464835175</v>
      </c>
      <c r="S421" s="158">
        <f t="shared" si="1162"/>
        <v>2.9079908977236539</v>
      </c>
      <c r="T421" s="158">
        <f t="shared" si="1162"/>
        <v>2.5781887082074162</v>
      </c>
      <c r="U421" s="158">
        <f t="shared" si="1162"/>
        <v>2.5534246744031042</v>
      </c>
      <c r="V421" s="158">
        <f t="shared" si="1152"/>
        <v>3.232087268746751</v>
      </c>
      <c r="W421" s="180">
        <f t="shared" si="1152"/>
        <v>4.142890066835677</v>
      </c>
      <c r="X421" s="181">
        <f t="shared" si="1159"/>
        <v>4.1048108517988036</v>
      </c>
      <c r="Y421" s="147">
        <f t="shared" si="1154"/>
        <v>-9.1914616179903375E-3</v>
      </c>
      <c r="Z421" s="127">
        <f t="shared" si="1155"/>
        <v>7.1371332380587793E-2</v>
      </c>
    </row>
    <row r="422" spans="1:26" x14ac:dyDescent="0.25">
      <c r="A422" s="133" t="s">
        <v>1</v>
      </c>
      <c r="B422" s="158">
        <f t="shared" ref="B422:H422" si="1163">+B261/B100</f>
        <v>3.299750102315429</v>
      </c>
      <c r="C422" s="158">
        <f t="shared" si="1163"/>
        <v>3.4982544841699772</v>
      </c>
      <c r="D422" s="158">
        <f t="shared" si="1163"/>
        <v>3.5824315722469766</v>
      </c>
      <c r="E422" s="158">
        <f t="shared" si="1163"/>
        <v>3.3113365507731705</v>
      </c>
      <c r="F422" s="158">
        <f t="shared" si="1163"/>
        <v>2.4005178139246919</v>
      </c>
      <c r="G422" s="158">
        <f t="shared" si="1163"/>
        <v>2.7333333333333334</v>
      </c>
      <c r="H422" s="158">
        <f t="shared" si="1163"/>
        <v>1.9534909125667392</v>
      </c>
      <c r="I422" s="158">
        <f>+I261/I100</f>
        <v>3.9662396743684902</v>
      </c>
      <c r="J422" s="180">
        <f t="shared" ref="J422:J430" si="1164">+J261/J100</f>
        <v>4.1425928561263694</v>
      </c>
      <c r="K422" s="181"/>
      <c r="L422" s="127"/>
      <c r="M422" s="2"/>
      <c r="N422" s="133" t="s">
        <v>1</v>
      </c>
      <c r="O422" s="158">
        <f t="shared" ref="O422:U422" si="1165">+O261/O100</f>
        <v>3.2021316709402474</v>
      </c>
      <c r="P422" s="158">
        <f t="shared" si="1165"/>
        <v>3.3165150167455097</v>
      </c>
      <c r="Q422" s="158">
        <f t="shared" si="1165"/>
        <v>3.5082646666995609</v>
      </c>
      <c r="R422" s="158">
        <f t="shared" si="1165"/>
        <v>3.508393931232606</v>
      </c>
      <c r="S422" s="158">
        <f t="shared" si="1165"/>
        <v>2.8118469198448377</v>
      </c>
      <c r="T422" s="158">
        <f t="shared" si="1165"/>
        <v>2.6108407636276612</v>
      </c>
      <c r="U422" s="158">
        <f t="shared" si="1165"/>
        <v>2.4761009246199661</v>
      </c>
      <c r="V422" s="158">
        <f t="shared" si="1152"/>
        <v>3.5261043507351455</v>
      </c>
      <c r="W422" s="180">
        <f t="shared" si="1152"/>
        <v>4.160132937018747</v>
      </c>
      <c r="X422" s="181"/>
      <c r="Y422" s="147"/>
      <c r="Z422" s="127"/>
    </row>
    <row r="423" spans="1:26" x14ac:dyDescent="0.25">
      <c r="A423" s="133" t="s">
        <v>2</v>
      </c>
      <c r="B423" s="158">
        <f t="shared" ref="B423:I423" si="1166">+B262/B101</f>
        <v>3.627414874177687</v>
      </c>
      <c r="C423" s="158">
        <f t="shared" si="1166"/>
        <v>3.3823881311318496</v>
      </c>
      <c r="D423" s="158">
        <f t="shared" si="1166"/>
        <v>3.6540820498841486</v>
      </c>
      <c r="E423" s="158">
        <f t="shared" si="1166"/>
        <v>3.5976618506672553</v>
      </c>
      <c r="F423" s="158">
        <f t="shared" si="1166"/>
        <v>2.0942812982998453</v>
      </c>
      <c r="G423" s="158">
        <f t="shared" si="1166"/>
        <v>2.1455693081512899</v>
      </c>
      <c r="H423" s="158">
        <f t="shared" si="1166"/>
        <v>3.9493775522012995</v>
      </c>
      <c r="I423" s="158">
        <f t="shared" si="1166"/>
        <v>4.8429510591672758</v>
      </c>
      <c r="J423" s="180">
        <f t="shared" si="1164"/>
        <v>4.89161554192229</v>
      </c>
      <c r="K423" s="181"/>
      <c r="L423" s="127"/>
      <c r="M423" s="2"/>
      <c r="N423" s="133" t="s">
        <v>2</v>
      </c>
      <c r="O423" s="158">
        <f t="shared" ref="O423:U423" si="1167">+O262/O101</f>
        <v>3.2463619134147987</v>
      </c>
      <c r="P423" s="158">
        <f t="shared" si="1167"/>
        <v>3.2971714296547225</v>
      </c>
      <c r="Q423" s="158">
        <f t="shared" si="1167"/>
        <v>3.5294176286460517</v>
      </c>
      <c r="R423" s="158">
        <f t="shared" si="1167"/>
        <v>3.5058491287592788</v>
      </c>
      <c r="S423" s="158">
        <f t="shared" si="1167"/>
        <v>2.6948362163626771</v>
      </c>
      <c r="T423" s="158">
        <f t="shared" si="1167"/>
        <v>2.5946869605045273</v>
      </c>
      <c r="U423" s="158">
        <f t="shared" si="1167"/>
        <v>2.5807901889235216</v>
      </c>
      <c r="V423" s="158">
        <f t="shared" si="1152"/>
        <v>3.5714178105312797</v>
      </c>
      <c r="W423" s="180">
        <f t="shared" ref="W423:W430" si="1168">+W262/W101</f>
        <v>4.1681792795308574</v>
      </c>
      <c r="X423" s="181"/>
      <c r="Y423" s="147"/>
      <c r="Z423" s="127"/>
    </row>
    <row r="424" spans="1:26" x14ac:dyDescent="0.25">
      <c r="A424" s="133" t="s">
        <v>3</v>
      </c>
      <c r="B424" s="158">
        <f t="shared" ref="B424:I431" si="1169">+B263/B102</f>
        <v>3.2179962358700798</v>
      </c>
      <c r="C424" s="158">
        <f t="shared" si="1169"/>
        <v>3.3054781801299908</v>
      </c>
      <c r="D424" s="158">
        <f t="shared" si="1169"/>
        <v>3.4769047972671916</v>
      </c>
      <c r="E424" s="158">
        <f t="shared" si="1169"/>
        <v>3.9229919520277736</v>
      </c>
      <c r="F424" s="158">
        <f t="shared" si="1169"/>
        <v>2.2720951792336215</v>
      </c>
      <c r="G424" s="158">
        <f t="shared" si="1169"/>
        <v>2.5395331325301203</v>
      </c>
      <c r="H424" s="158">
        <f t="shared" si="1169"/>
        <v>2.762432181061909</v>
      </c>
      <c r="I424" s="158">
        <f t="shared" si="1169"/>
        <v>4.6553636507684999</v>
      </c>
      <c r="J424" s="180">
        <f t="shared" si="1164"/>
        <v>4.2994668246445498</v>
      </c>
      <c r="K424" s="181"/>
      <c r="L424" s="127"/>
      <c r="M424" s="2"/>
      <c r="N424" s="133" t="s">
        <v>3</v>
      </c>
      <c r="O424" s="158">
        <f t="shared" ref="O424:U424" si="1170">+O263/O102</f>
        <v>3.2487626172313289</v>
      </c>
      <c r="P424" s="158">
        <f t="shared" si="1170"/>
        <v>3.3042028133651167</v>
      </c>
      <c r="Q424" s="158">
        <f t="shared" si="1170"/>
        <v>3.5507961403034995</v>
      </c>
      <c r="R424" s="158">
        <f t="shared" si="1170"/>
        <v>3.533789437416941</v>
      </c>
      <c r="S424" s="158">
        <f t="shared" si="1170"/>
        <v>2.6045773664821286</v>
      </c>
      <c r="T424" s="158">
        <f t="shared" si="1170"/>
        <v>2.6137111200877143</v>
      </c>
      <c r="U424" s="158">
        <f t="shared" si="1170"/>
        <v>2.5997643716834862</v>
      </c>
      <c r="V424" s="158">
        <f t="shared" si="1152"/>
        <v>3.7652037057919796</v>
      </c>
      <c r="W424" s="180">
        <f t="shared" si="1168"/>
        <v>4.1428488742258489</v>
      </c>
      <c r="X424" s="181"/>
      <c r="Y424" s="147"/>
      <c r="Z424" s="127"/>
    </row>
    <row r="425" spans="1:26" x14ac:dyDescent="0.25">
      <c r="A425" s="133" t="s">
        <v>4</v>
      </c>
      <c r="B425" s="158">
        <f t="shared" ref="B425:F425" si="1171">+B264/B103</f>
        <v>3.0298684567398975</v>
      </c>
      <c r="C425" s="158">
        <f t="shared" si="1171"/>
        <v>3.5531660692951021</v>
      </c>
      <c r="D425" s="158">
        <f t="shared" si="1171"/>
        <v>3.3634827551933206</v>
      </c>
      <c r="E425" s="158">
        <f t="shared" si="1171"/>
        <v>3.5822316234796405</v>
      </c>
      <c r="F425" s="158">
        <f t="shared" si="1171"/>
        <v>1.7640111250809618</v>
      </c>
      <c r="G425" s="158">
        <f t="shared" si="1169"/>
        <v>2.6644457904300425</v>
      </c>
      <c r="H425" s="158">
        <f t="shared" ref="H425:I425" si="1172">+H264/H103</f>
        <v>3.4514893952565586</v>
      </c>
      <c r="I425" s="158">
        <f t="shared" si="1172"/>
        <v>3.9108685766257385</v>
      </c>
      <c r="J425" s="180">
        <f t="shared" si="1164"/>
        <v>4.3907333090113099</v>
      </c>
      <c r="K425" s="181"/>
      <c r="L425" s="127"/>
      <c r="M425" s="2"/>
      <c r="N425" s="133" t="s">
        <v>4</v>
      </c>
      <c r="O425" s="158">
        <f t="shared" ref="O425:U425" si="1173">+O264/O103</f>
        <v>3.2365066166270573</v>
      </c>
      <c r="P425" s="158">
        <f t="shared" si="1173"/>
        <v>3.3453023876158823</v>
      </c>
      <c r="Q425" s="158">
        <f t="shared" si="1173"/>
        <v>3.5313571778539932</v>
      </c>
      <c r="R425" s="158">
        <f t="shared" si="1173"/>
        <v>3.5552936749225084</v>
      </c>
      <c r="S425" s="158">
        <f t="shared" si="1173"/>
        <v>2.4132726328332677</v>
      </c>
      <c r="T425" s="158">
        <f t="shared" si="1173"/>
        <v>2.7551925064046521</v>
      </c>
      <c r="U425" s="158">
        <f t="shared" si="1173"/>
        <v>2.6410621662417051</v>
      </c>
      <c r="V425" s="158">
        <f t="shared" si="1152"/>
        <v>3.8091248618392299</v>
      </c>
      <c r="W425" s="180">
        <f t="shared" si="1168"/>
        <v>4.1965828373968135</v>
      </c>
      <c r="X425" s="181"/>
      <c r="Y425" s="147"/>
      <c r="Z425" s="127"/>
    </row>
    <row r="426" spans="1:26" x14ac:dyDescent="0.25">
      <c r="A426" s="133" t="s">
        <v>5</v>
      </c>
      <c r="B426" s="158">
        <f t="shared" ref="B426:F426" si="1174">+B265/B104</f>
        <v>3.1294230529987037</v>
      </c>
      <c r="C426" s="158">
        <f t="shared" si="1174"/>
        <v>3.2568020263093391</v>
      </c>
      <c r="D426" s="158">
        <f t="shared" si="1174"/>
        <v>3.755868544600939</v>
      </c>
      <c r="E426" s="158">
        <f t="shared" si="1174"/>
        <v>2.8414111889062603</v>
      </c>
      <c r="F426" s="158">
        <f t="shared" si="1174"/>
        <v>2.879387204118792</v>
      </c>
      <c r="G426" s="158">
        <f t="shared" si="1169"/>
        <v>2.7676992599384374</v>
      </c>
      <c r="H426" s="158">
        <f t="shared" ref="H426:I426" si="1175">+H265/H104</f>
        <v>3.1705579443813834</v>
      </c>
      <c r="I426" s="158">
        <f t="shared" si="1175"/>
        <v>3.875314408911247</v>
      </c>
      <c r="J426" s="180">
        <f t="shared" si="1164"/>
        <v>3.8369876072449958</v>
      </c>
      <c r="K426" s="181"/>
      <c r="L426" s="127"/>
      <c r="M426" s="2"/>
      <c r="N426" s="133" t="s">
        <v>5</v>
      </c>
      <c r="O426" s="158">
        <f t="shared" ref="O426:U426" si="1176">+O265/O104</f>
        <v>3.2727683693719731</v>
      </c>
      <c r="P426" s="158">
        <f t="shared" si="1176"/>
        <v>3.3632271427754112</v>
      </c>
      <c r="Q426" s="158">
        <f t="shared" si="1176"/>
        <v>3.5895610665047579</v>
      </c>
      <c r="R426" s="158">
        <f t="shared" si="1176"/>
        <v>3.4375590224001811</v>
      </c>
      <c r="S426" s="158">
        <f t="shared" si="1176"/>
        <v>2.4200993564275355</v>
      </c>
      <c r="T426" s="158">
        <f t="shared" si="1176"/>
        <v>2.7442217379293412</v>
      </c>
      <c r="U426" s="158">
        <f t="shared" si="1176"/>
        <v>2.6713154882070955</v>
      </c>
      <c r="V426" s="158">
        <f t="shared" si="1152"/>
        <v>3.9078271326387592</v>
      </c>
      <c r="W426" s="180">
        <f t="shared" si="1168"/>
        <v>4.1943556551512318</v>
      </c>
      <c r="X426" s="181"/>
      <c r="Y426" s="147"/>
      <c r="Z426" s="127"/>
    </row>
    <row r="427" spans="1:26" x14ac:dyDescent="0.25">
      <c r="A427" s="133" t="s">
        <v>6</v>
      </c>
      <c r="B427" s="158">
        <f t="shared" ref="B427:F427" si="1177">+B266/B105</f>
        <v>3.6036190053285968</v>
      </c>
      <c r="C427" s="158">
        <f t="shared" si="1177"/>
        <v>3.6696245733788397</v>
      </c>
      <c r="D427" s="158">
        <f t="shared" si="1177"/>
        <v>3.8656941649899395</v>
      </c>
      <c r="E427" s="158">
        <f t="shared" si="1177"/>
        <v>3.3340683572216094</v>
      </c>
      <c r="F427" s="158">
        <f t="shared" si="1177"/>
        <v>2.3714266851521755</v>
      </c>
      <c r="G427" s="158">
        <f t="shared" si="1169"/>
        <v>3.4775534353967901</v>
      </c>
      <c r="H427" s="158">
        <f t="shared" ref="H427:I430" si="1178">+H266/H105</f>
        <v>3.4700661961198325</v>
      </c>
      <c r="I427" s="158">
        <f t="shared" si="1178"/>
        <v>4.1009221311475406</v>
      </c>
      <c r="J427" s="180">
        <f t="shared" si="1164"/>
        <v>3.9867234468937873</v>
      </c>
      <c r="K427" s="181"/>
      <c r="L427" s="127"/>
      <c r="M427" s="2"/>
      <c r="N427" s="133" t="s">
        <v>6</v>
      </c>
      <c r="O427" s="158">
        <f t="shared" ref="O427:U427" si="1179">+O266/O105</f>
        <v>3.2625213408554847</v>
      </c>
      <c r="P427" s="158">
        <f t="shared" si="1179"/>
        <v>3.3639692363885727</v>
      </c>
      <c r="Q427" s="158">
        <f t="shared" si="1179"/>
        <v>3.6062982299228321</v>
      </c>
      <c r="R427" s="158">
        <f t="shared" si="1179"/>
        <v>3.3969722455845246</v>
      </c>
      <c r="S427" s="158">
        <f t="shared" si="1179"/>
        <v>2.3672910645965204</v>
      </c>
      <c r="T427" s="158">
        <f t="shared" si="1179"/>
        <v>2.8407195431236012</v>
      </c>
      <c r="U427" s="158">
        <f t="shared" si="1179"/>
        <v>2.6566266793894329</v>
      </c>
      <c r="V427" s="158">
        <f t="shared" si="1152"/>
        <v>3.9699064118534397</v>
      </c>
      <c r="W427" s="180">
        <f t="shared" si="1168"/>
        <v>4.1838182705734104</v>
      </c>
      <c r="X427" s="181"/>
      <c r="Y427" s="147"/>
      <c r="Z427" s="127"/>
    </row>
    <row r="428" spans="1:26" x14ac:dyDescent="0.25">
      <c r="A428" s="133" t="s">
        <v>7</v>
      </c>
      <c r="B428" s="158">
        <f t="shared" ref="B428:F428" si="1180">+B267/B106</f>
        <v>3.5260046013666506</v>
      </c>
      <c r="C428" s="158">
        <f t="shared" si="1180"/>
        <v>4.0435805373282161</v>
      </c>
      <c r="D428" s="158">
        <f t="shared" si="1180"/>
        <v>3.8527123521261859</v>
      </c>
      <c r="E428" s="158">
        <f t="shared" si="1180"/>
        <v>3.0205970420107069</v>
      </c>
      <c r="F428" s="158">
        <f t="shared" si="1180"/>
        <v>3.3952106924076482</v>
      </c>
      <c r="G428" s="158">
        <f t="shared" si="1169"/>
        <v>2.9660278745644604</v>
      </c>
      <c r="H428" s="158">
        <f t="shared" si="1178"/>
        <v>3.7558215480885124</v>
      </c>
      <c r="I428" s="158">
        <f t="shared" si="1178"/>
        <v>4.0637395705101902</v>
      </c>
      <c r="J428" s="180">
        <f t="shared" si="1164"/>
        <v>4.161318133920874</v>
      </c>
      <c r="K428" s="181"/>
      <c r="L428" s="127"/>
      <c r="M428" s="2"/>
      <c r="N428" s="133" t="s">
        <v>7</v>
      </c>
      <c r="O428" s="158">
        <f t="shared" ref="O428:U428" si="1181">+O267/O106</f>
        <v>3.2427586258634506</v>
      </c>
      <c r="P428" s="158">
        <f t="shared" si="1181"/>
        <v>3.4011614001855941</v>
      </c>
      <c r="Q428" s="158">
        <f t="shared" si="1181"/>
        <v>3.5937820644366925</v>
      </c>
      <c r="R428" s="158">
        <f t="shared" si="1181"/>
        <v>3.319435240409395</v>
      </c>
      <c r="S428" s="158">
        <f t="shared" si="1181"/>
        <v>2.3899912707758468</v>
      </c>
      <c r="T428" s="158">
        <f t="shared" si="1181"/>
        <v>2.8148608092724827</v>
      </c>
      <c r="U428" s="158">
        <f t="shared" si="1181"/>
        <v>2.6879070541378507</v>
      </c>
      <c r="V428" s="158">
        <f t="shared" si="1152"/>
        <v>3.9971056743464182</v>
      </c>
      <c r="W428" s="180">
        <f t="shared" si="1168"/>
        <v>4.190867730088252</v>
      </c>
      <c r="X428" s="181"/>
      <c r="Y428" s="147"/>
      <c r="Z428" s="127"/>
    </row>
    <row r="429" spans="1:26" x14ac:dyDescent="0.25">
      <c r="A429" s="133" t="s">
        <v>8</v>
      </c>
      <c r="B429" s="158">
        <f t="shared" ref="B429:F429" si="1182">+B268/B107</f>
        <v>3.2949110974862044</v>
      </c>
      <c r="C429" s="158">
        <f t="shared" si="1182"/>
        <v>3.4860018062185523</v>
      </c>
      <c r="D429" s="158">
        <f t="shared" si="1182"/>
        <v>3.9161978087059519</v>
      </c>
      <c r="E429" s="158">
        <f t="shared" si="1182"/>
        <v>2.845689296126614</v>
      </c>
      <c r="F429" s="158">
        <f t="shared" si="1182"/>
        <v>2.8667713045886809</v>
      </c>
      <c r="G429" s="158">
        <f t="shared" si="1169"/>
        <v>2.9957321076822061</v>
      </c>
      <c r="H429" s="158">
        <f t="shared" si="1178"/>
        <v>3.2689175985235046</v>
      </c>
      <c r="I429" s="158">
        <f t="shared" si="1178"/>
        <v>4.4985549132947984</v>
      </c>
      <c r="J429" s="180">
        <f t="shared" si="1164"/>
        <v>3.899986223997796</v>
      </c>
      <c r="K429" s="181"/>
      <c r="L429" s="127"/>
      <c r="M429" s="2"/>
      <c r="N429" s="133" t="s">
        <v>8</v>
      </c>
      <c r="O429" s="158">
        <f t="shared" ref="O429:U429" si="1183">+O268/O107</f>
        <v>3.2672451438854475</v>
      </c>
      <c r="P429" s="158">
        <f t="shared" si="1183"/>
        <v>3.4157983193277306</v>
      </c>
      <c r="Q429" s="158">
        <f t="shared" si="1183"/>
        <v>3.6250168458372651</v>
      </c>
      <c r="R429" s="158">
        <f t="shared" si="1183"/>
        <v>3.2424796857342728</v>
      </c>
      <c r="S429" s="158">
        <f t="shared" si="1183"/>
        <v>2.3945718307565236</v>
      </c>
      <c r="T429" s="158">
        <f t="shared" si="1183"/>
        <v>2.8247717722069265</v>
      </c>
      <c r="U429" s="158">
        <f t="shared" si="1183"/>
        <v>2.6971146704860089</v>
      </c>
      <c r="V429" s="158">
        <f t="shared" si="1152"/>
        <v>4.1064597928396447</v>
      </c>
      <c r="W429" s="180">
        <f t="shared" si="1168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184">+B269/B108</f>
        <v>3.0295019562229037</v>
      </c>
      <c r="C430" s="158">
        <f t="shared" si="1184"/>
        <v>3.8832707310026002</v>
      </c>
      <c r="D430" s="158">
        <f t="shared" si="1184"/>
        <v>3.751645458534445</v>
      </c>
      <c r="E430" s="158">
        <f t="shared" si="1184"/>
        <v>1.9525591501690003</v>
      </c>
      <c r="F430" s="158">
        <f t="shared" si="1184"/>
        <v>2.9480554800108782</v>
      </c>
      <c r="G430" s="158">
        <f t="shared" si="1169"/>
        <v>2.1485433604336039</v>
      </c>
      <c r="H430" s="158">
        <f t="shared" si="1178"/>
        <v>3.9383606557377053</v>
      </c>
      <c r="I430" s="158">
        <f t="shared" si="1178"/>
        <v>4.3083224725377027</v>
      </c>
      <c r="J430" s="180">
        <f t="shared" si="1164"/>
        <v>3.7367605269956079</v>
      </c>
      <c r="K430" s="181"/>
      <c r="L430" s="127"/>
      <c r="M430" s="2"/>
      <c r="N430" s="133" t="s">
        <v>9</v>
      </c>
      <c r="O430" s="158">
        <f t="shared" ref="O430:U430" si="1185">+O269/O108</f>
        <v>3.2323845055672571</v>
      </c>
      <c r="P430" s="158">
        <f t="shared" si="1185"/>
        <v>3.4836105915936608</v>
      </c>
      <c r="Q430" s="158">
        <f t="shared" si="1185"/>
        <v>3.6154516590923245</v>
      </c>
      <c r="R430" s="158">
        <f t="shared" si="1185"/>
        <v>3.0374745316714646</v>
      </c>
      <c r="S430" s="158">
        <f t="shared" si="1185"/>
        <v>2.4752826344354224</v>
      </c>
      <c r="T430" s="158">
        <f t="shared" si="1185"/>
        <v>2.727527790403403</v>
      </c>
      <c r="U430" s="158">
        <f t="shared" si="1185"/>
        <v>2.839097943969719</v>
      </c>
      <c r="V430" s="158">
        <f t="shared" si="1152"/>
        <v>4.1325126081881649</v>
      </c>
      <c r="W430" s="180">
        <f t="shared" si="1168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186">+B270/B109</f>
        <v>3.2323845055672575</v>
      </c>
      <c r="C431" s="182">
        <f t="shared" si="1186"/>
        <v>3.4836105915936608</v>
      </c>
      <c r="D431" s="182">
        <f t="shared" si="1186"/>
        <v>3.6154516590923245</v>
      </c>
      <c r="E431" s="182">
        <f t="shared" si="1186"/>
        <v>3.0374745316714646</v>
      </c>
      <c r="F431" s="182">
        <f t="shared" si="1186"/>
        <v>2.4752826344354224</v>
      </c>
      <c r="G431" s="182">
        <f t="shared" si="1169"/>
        <v>2.727527790403403</v>
      </c>
      <c r="H431" s="182">
        <f t="shared" ref="H431:I431" si="1187">+H270/H109</f>
        <v>2.839097943969719</v>
      </c>
      <c r="I431" s="182">
        <f t="shared" si="1187"/>
        <v>4.1325126081881649</v>
      </c>
      <c r="J431" s="183">
        <f t="shared" ref="J431" si="1188">+J270/J109</f>
        <v>4.1015704019164225</v>
      </c>
      <c r="K431" s="183"/>
      <c r="L431" s="137"/>
      <c r="M431" s="3"/>
      <c r="N431" s="134" t="s">
        <v>14</v>
      </c>
      <c r="O431" s="182">
        <f t="shared" ref="O431:W431" si="1189">+O270/O109</f>
        <v>3.2317964762261528</v>
      </c>
      <c r="P431" s="182">
        <f t="shared" si="1189"/>
        <v>3.3446060682411227</v>
      </c>
      <c r="Q431" s="182">
        <f t="shared" si="1189"/>
        <v>3.5508642263193217</v>
      </c>
      <c r="R431" s="182">
        <f t="shared" si="1189"/>
        <v>3.4180442976177834</v>
      </c>
      <c r="S431" s="182">
        <f t="shared" si="1189"/>
        <v>2.5908625487413852</v>
      </c>
      <c r="T431" s="182">
        <f t="shared" si="1189"/>
        <v>2.6871850089578522</v>
      </c>
      <c r="U431" s="182">
        <f t="shared" si="1189"/>
        <v>2.6258145706748284</v>
      </c>
      <c r="V431" s="182">
        <f t="shared" si="1189"/>
        <v>3.6160334770383566</v>
      </c>
      <c r="W431" s="183">
        <f t="shared" si="1189"/>
        <v>4.156535418567695</v>
      </c>
      <c r="X431" s="183">
        <f t="shared" ref="X431" si="1190">+X270/X109</f>
        <v>4.1070991844214211</v>
      </c>
      <c r="Y431" s="149">
        <f>+X431/W431-1</f>
        <v>-1.1893615515806033E-2</v>
      </c>
      <c r="Z431" s="156">
        <f>+POWER(X431/S431,0.2)-1</f>
        <v>9.652405522011609E-2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191">+C431/C$485</f>
        <v>0.92352885987918953</v>
      </c>
      <c r="D432" s="138">
        <f t="shared" ref="D432" si="1192">+D431/D$485</f>
        <v>0.9503457663463627</v>
      </c>
      <c r="E432" s="138">
        <f t="shared" ref="E432" si="1193">+E431/E$485</f>
        <v>0.89324501050422733</v>
      </c>
      <c r="F432" s="138">
        <f t="shared" ref="F432:G432" si="1194">+F431/F$485</f>
        <v>0.90022672893166966</v>
      </c>
      <c r="G432" s="138">
        <f t="shared" si="1194"/>
        <v>0.89171170060872318</v>
      </c>
      <c r="H432" s="138">
        <f t="shared" ref="H432:I432" si="1195">+H431/H$485</f>
        <v>0.87397386660440302</v>
      </c>
      <c r="I432" s="138">
        <f t="shared" si="1195"/>
        <v>1.169144044354238</v>
      </c>
      <c r="J432" s="139">
        <f t="shared" ref="J432" si="1196">+J431/J$485</f>
        <v>1.155196621195667</v>
      </c>
      <c r="K432" s="139"/>
      <c r="L432" s="140"/>
      <c r="M432" s="3"/>
      <c r="N432" s="135" t="s">
        <v>15</v>
      </c>
      <c r="O432" s="138">
        <f t="shared" ref="O432" si="1197">+O431/O$485</f>
        <v>0.94795879077679479</v>
      </c>
      <c r="P432" s="138">
        <f t="shared" ref="P432" si="1198">+P431/P$485</f>
        <v>0.92498856129101414</v>
      </c>
      <c r="Q432" s="138">
        <f t="shared" ref="Q432" si="1199">+Q431/Q$485</f>
        <v>0.92012424533538828</v>
      </c>
      <c r="R432" s="138">
        <f t="shared" ref="R432" si="1200">+R431/R$485</f>
        <v>0.95212577827341016</v>
      </c>
      <c r="S432" s="138">
        <f t="shared" ref="S432:W432" si="1201">+S431/S$485</f>
        <v>0.86306098647050644</v>
      </c>
      <c r="T432" s="138">
        <f t="shared" si="1201"/>
        <v>0.92739642177779991</v>
      </c>
      <c r="U432" s="138">
        <f t="shared" si="1201"/>
        <v>0.83450661705530171</v>
      </c>
      <c r="V432" s="138">
        <f t="shared" si="1201"/>
        <v>1.0620928452366833</v>
      </c>
      <c r="W432" s="139">
        <f t="shared" si="1201"/>
        <v>1.1727027693546239</v>
      </c>
      <c r="X432" s="139">
        <f t="shared" ref="X432" si="1202">+X431/X$485</f>
        <v>1.1512250160448811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203">+D431/C431-1</f>
        <v>3.7846097901071518E-2</v>
      </c>
      <c r="E433" s="142">
        <f t="shared" ref="E433" si="1204">+E431/D431-1</f>
        <v>-0.15986304946640151</v>
      </c>
      <c r="F433" s="142">
        <f t="shared" ref="F433:J433" si="1205">+F431/E431-1</f>
        <v>-0.18508530404917622</v>
      </c>
      <c r="G433" s="142">
        <f t="shared" si="1205"/>
        <v>0.10190559755028317</v>
      </c>
      <c r="H433" s="142">
        <f t="shared" si="1205"/>
        <v>4.0905230721705932E-2</v>
      </c>
      <c r="I433" s="142">
        <f t="shared" si="1205"/>
        <v>0.45557240001729271</v>
      </c>
      <c r="J433" s="143">
        <f t="shared" si="1205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206">+Q431/P431-1</f>
        <v>6.1668894294229171E-2</v>
      </c>
      <c r="R433" s="142">
        <f t="shared" ref="R433" si="1207">+R431/Q431-1</f>
        <v>-3.7404958409016364E-2</v>
      </c>
      <c r="S433" s="142">
        <f t="shared" ref="S433" si="1208">+S431/R431-1</f>
        <v>-0.2420043969157758</v>
      </c>
      <c r="T433" s="142">
        <f t="shared" ref="T433" si="1209">+T431/S431-1</f>
        <v>3.7177757756102991E-2</v>
      </c>
      <c r="U433" s="142">
        <f t="shared" ref="U433" si="1210">+U431/T431-1</f>
        <v>-2.2838188691304384E-2</v>
      </c>
      <c r="V433" s="142">
        <f t="shared" ref="V433" si="1211">+V431/U431-1</f>
        <v>0.37710922828379467</v>
      </c>
      <c r="W433" s="143">
        <f t="shared" ref="W433:X433" si="1212">+W431/V431-1</f>
        <v>0.14947371061731052</v>
      </c>
      <c r="X433" s="143">
        <f t="shared" si="1212"/>
        <v>-1.1893615515806033E-2</v>
      </c>
      <c r="Y433" s="144"/>
      <c r="Z433" s="145"/>
    </row>
    <row r="434" spans="1:26" ht="15.75" thickBot="1" x14ac:dyDescent="0.3"/>
    <row r="435" spans="1:26" ht="15.75" thickBot="1" x14ac:dyDescent="0.3">
      <c r="A435" s="347" t="s">
        <v>94</v>
      </c>
      <c r="B435" s="348"/>
      <c r="C435" s="348"/>
      <c r="D435" s="348"/>
      <c r="E435" s="348"/>
      <c r="F435" s="348"/>
      <c r="G435" s="348"/>
      <c r="H435" s="348"/>
      <c r="I435" s="348"/>
      <c r="J435" s="348"/>
      <c r="K435" s="348"/>
      <c r="L435" s="349"/>
      <c r="M435" s="2"/>
      <c r="N435" s="347" t="s">
        <v>95</v>
      </c>
      <c r="O435" s="348"/>
      <c r="P435" s="348"/>
      <c r="Q435" s="348"/>
      <c r="R435" s="348"/>
      <c r="S435" s="348"/>
      <c r="T435" s="348"/>
      <c r="U435" s="348"/>
      <c r="V435" s="348"/>
      <c r="W435" s="348"/>
      <c r="X435" s="348"/>
      <c r="Y435" s="348"/>
      <c r="Z435" s="34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213">+C436+1</f>
        <v>2018</v>
      </c>
      <c r="E436" s="129">
        <f t="shared" ref="E436" si="1214">+D436+1</f>
        <v>2019</v>
      </c>
      <c r="F436" s="129">
        <f t="shared" ref="F436" si="1215">+E436+1</f>
        <v>2020</v>
      </c>
      <c r="G436" s="129">
        <f t="shared" ref="G436" si="1216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217">+P436+1</f>
        <v>2018</v>
      </c>
      <c r="R436" s="129">
        <f t="shared" ref="R436" si="1218">+Q436+1</f>
        <v>2019</v>
      </c>
      <c r="S436" s="129">
        <f t="shared" ref="S436" si="1219">+R436+1</f>
        <v>2020</v>
      </c>
      <c r="T436" s="129">
        <f t="shared" ref="T436" si="1220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221">+C276/C115</f>
        <v>2.4123761179598744</v>
      </c>
      <c r="D437" s="158">
        <f t="shared" si="1221"/>
        <v>2.0785728602926437</v>
      </c>
      <c r="E437" s="158">
        <f t="shared" si="1221"/>
        <v>2.5110132158590308</v>
      </c>
      <c r="F437" s="158">
        <f t="shared" si="1221"/>
        <v>1.8199911543564793</v>
      </c>
      <c r="G437" s="158">
        <f t="shared" si="1221"/>
        <v>1.9587337478801581</v>
      </c>
      <c r="H437" s="158">
        <f t="shared" si="1221"/>
        <v>3.1298271423317399</v>
      </c>
      <c r="I437" s="158">
        <f t="shared" ref="I437:J437" si="1222">+I276/I115</f>
        <v>2.5476883284836727</v>
      </c>
      <c r="J437" s="180">
        <f t="shared" si="1222"/>
        <v>2.3620071684587813</v>
      </c>
      <c r="K437" s="181">
        <f t="shared" ref="K437" si="1223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224">+P276/P115</f>
        <v>2.4563349553801634</v>
      </c>
      <c r="Q437" s="158">
        <f t="shared" si="1224"/>
        <v>2.4128879079721774</v>
      </c>
      <c r="R437" s="158">
        <f t="shared" si="1224"/>
        <v>2.51126083500511</v>
      </c>
      <c r="S437" s="158">
        <f t="shared" si="1224"/>
        <v>2.2732366806012627</v>
      </c>
      <c r="T437" s="158">
        <f t="shared" si="1224"/>
        <v>1.9585118142876887</v>
      </c>
      <c r="U437" s="158">
        <f t="shared" si="1224"/>
        <v>2.1029079159935384</v>
      </c>
      <c r="V437" s="158">
        <f t="shared" si="1224"/>
        <v>2.3343372341174704</v>
      </c>
      <c r="W437" s="180">
        <f t="shared" si="1224"/>
        <v>2.7819218955682317</v>
      </c>
      <c r="X437" s="181">
        <f t="shared" ref="X437" si="1225">+X276/X115</f>
        <v>2.9800116334408542</v>
      </c>
      <c r="Y437" s="147">
        <f t="shared" ref="Y437:Y439" si="1226">+X437/W437-1</f>
        <v>7.1206074544433173E-2</v>
      </c>
      <c r="Z437" s="127">
        <f t="shared" ref="Z437:Z439" si="1227">+POWER(X437/S437,0.2)-1</f>
        <v>5.5637138708080291E-2</v>
      </c>
    </row>
    <row r="438" spans="1:26" x14ac:dyDescent="0.25">
      <c r="A438" s="133" t="s">
        <v>11</v>
      </c>
      <c r="B438" s="158">
        <f t="shared" ref="B438:G438" si="1228">+B277/B116</f>
        <v>2.7133783993272984</v>
      </c>
      <c r="C438" s="158">
        <f t="shared" si="1228"/>
        <v>2.3468749999999998</v>
      </c>
      <c r="D438" s="158">
        <f t="shared" si="1228"/>
        <v>2.738294314381271</v>
      </c>
      <c r="E438" s="158">
        <f t="shared" si="1228"/>
        <v>2.9647948792551642</v>
      </c>
      <c r="F438" s="158">
        <f t="shared" si="1228"/>
        <v>2.6202440775305096</v>
      </c>
      <c r="G438" s="158">
        <f t="shared" si="1228"/>
        <v>2.1888412017167385</v>
      </c>
      <c r="H438" s="158">
        <f t="shared" si="1221"/>
        <v>1.7603388141504734</v>
      </c>
      <c r="I438" s="158">
        <f t="shared" ref="I438:J448" si="1229">+I277/I116</f>
        <v>3.3746898263027294</v>
      </c>
      <c r="J438" s="180">
        <f t="shared" si="1229"/>
        <v>3.9066788655077769</v>
      </c>
      <c r="K438" s="181">
        <f t="shared" ref="K438:K439" si="1230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231">+O277/O116</f>
        <v>2.5278627005932677</v>
      </c>
      <c r="P438" s="158">
        <f t="shared" si="1231"/>
        <v>2.4338119738072961</v>
      </c>
      <c r="Q438" s="158">
        <f t="shared" si="1231"/>
        <v>2.4296610169491522</v>
      </c>
      <c r="R438" s="158">
        <f t="shared" si="1231"/>
        <v>2.5301115379618797</v>
      </c>
      <c r="S438" s="158">
        <f t="shared" si="1231"/>
        <v>2.2478583255345193</v>
      </c>
      <c r="T438" s="158">
        <f t="shared" si="1231"/>
        <v>1.9407900349799505</v>
      </c>
      <c r="U438" s="158">
        <f t="shared" si="1231"/>
        <v>2.0760665822906486</v>
      </c>
      <c r="V438" s="158">
        <f t="shared" si="1224"/>
        <v>2.4063641783125007</v>
      </c>
      <c r="W438" s="180">
        <f t="shared" si="1224"/>
        <v>2.8314657869290714</v>
      </c>
      <c r="X438" s="181">
        <f t="shared" ref="X438:X439" si="1232">+X277/X116</f>
        <v>2.952947396246365</v>
      </c>
      <c r="Y438" s="147">
        <f t="shared" si="1226"/>
        <v>4.2904141691589848E-2</v>
      </c>
      <c r="Z438" s="127">
        <f t="shared" si="1227"/>
        <v>5.6081305609191556E-2</v>
      </c>
    </row>
    <row r="439" spans="1:26" x14ac:dyDescent="0.25">
      <c r="A439" s="133" t="s">
        <v>0</v>
      </c>
      <c r="B439" s="158">
        <f t="shared" ref="B439:G439" si="1233">+B278/B117</f>
        <v>2.4096847404094923</v>
      </c>
      <c r="C439" s="158">
        <f t="shared" si="1233"/>
        <v>2.9961922893860065</v>
      </c>
      <c r="D439" s="158">
        <f t="shared" si="1233"/>
        <v>2.3960708647605684</v>
      </c>
      <c r="E439" s="158">
        <f t="shared" si="1233"/>
        <v>2.3159480323856148</v>
      </c>
      <c r="F439" s="158">
        <f t="shared" si="1233"/>
        <v>3.0760233918128654</v>
      </c>
      <c r="G439" s="158">
        <f t="shared" si="1233"/>
        <v>1.9618528610354224</v>
      </c>
      <c r="H439" s="158">
        <f t="shared" si="1221"/>
        <v>2.2346006317689531</v>
      </c>
      <c r="I439" s="158">
        <f t="shared" si="1229"/>
        <v>2.7481455316142704</v>
      </c>
      <c r="J439" s="180">
        <f t="shared" si="1229"/>
        <v>2.7044025157232703</v>
      </c>
      <c r="K439" s="181">
        <f t="shared" si="1230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234">+O278/O117</f>
        <v>2.5539237681193114</v>
      </c>
      <c r="P439" s="158">
        <f t="shared" si="1234"/>
        <v>2.474610150631821</v>
      </c>
      <c r="Q439" s="158">
        <f t="shared" si="1234"/>
        <v>2.3871468949899999</v>
      </c>
      <c r="R439" s="158">
        <f t="shared" si="1234"/>
        <v>2.5231338679827271</v>
      </c>
      <c r="S439" s="158">
        <f t="shared" si="1234"/>
        <v>2.2812298837517515</v>
      </c>
      <c r="T439" s="158">
        <f t="shared" si="1234"/>
        <v>1.8953611178812251</v>
      </c>
      <c r="U439" s="158">
        <f t="shared" si="1234"/>
        <v>2.0957631211585914</v>
      </c>
      <c r="V439" s="158">
        <f t="shared" si="1224"/>
        <v>2.438713360155087</v>
      </c>
      <c r="W439" s="180">
        <f t="shared" si="1224"/>
        <v>2.8289605734767025</v>
      </c>
      <c r="X439" s="181">
        <f t="shared" si="1232"/>
        <v>2.9565080860417647</v>
      </c>
      <c r="Y439" s="147">
        <f t="shared" si="1226"/>
        <v>4.5086352125547791E-2</v>
      </c>
      <c r="Z439" s="127">
        <f t="shared" si="1227"/>
        <v>5.3227048177133973E-2</v>
      </c>
    </row>
    <row r="440" spans="1:26" x14ac:dyDescent="0.25">
      <c r="A440" s="133" t="s">
        <v>1</v>
      </c>
      <c r="B440" s="158">
        <f t="shared" ref="B440:H440" si="1235">+B279/B118</f>
        <v>1.9860317355159738</v>
      </c>
      <c r="C440" s="158">
        <f t="shared" si="1235"/>
        <v>2.4195103142471561</v>
      </c>
      <c r="D440" s="158">
        <f t="shared" si="1235"/>
        <v>3.0318509615384612</v>
      </c>
      <c r="E440" s="158">
        <f t="shared" si="1235"/>
        <v>2.0384531352414248</v>
      </c>
      <c r="F440" s="158">
        <f t="shared" si="1235"/>
        <v>2.434978496825722</v>
      </c>
      <c r="G440" s="158">
        <f t="shared" si="1235"/>
        <v>3.575701794753797</v>
      </c>
      <c r="H440" s="158">
        <f t="shared" si="1235"/>
        <v>2.2546608123951168</v>
      </c>
      <c r="I440" s="158">
        <f t="shared" si="1229"/>
        <v>3.4422948632421613</v>
      </c>
      <c r="J440" s="180">
        <f t="shared" si="1229"/>
        <v>2.3332487953335028</v>
      </c>
      <c r="K440" s="181"/>
      <c r="L440" s="127"/>
      <c r="M440" s="2"/>
      <c r="N440" s="133" t="s">
        <v>1</v>
      </c>
      <c r="O440" s="158">
        <f t="shared" ref="O440:U440" si="1236">+O279/O118</f>
        <v>2.4217665731794544</v>
      </c>
      <c r="P440" s="158">
        <f t="shared" si="1236"/>
        <v>2.551965766070357</v>
      </c>
      <c r="Q440" s="158">
        <f t="shared" si="1236"/>
        <v>2.4208731241473398</v>
      </c>
      <c r="R440" s="158">
        <f t="shared" si="1236"/>
        <v>2.4516824376164554</v>
      </c>
      <c r="S440" s="158">
        <f t="shared" si="1236"/>
        <v>2.3162788946615467</v>
      </c>
      <c r="T440" s="158">
        <f t="shared" si="1236"/>
        <v>1.9126370357780234</v>
      </c>
      <c r="U440" s="158">
        <f t="shared" si="1236"/>
        <v>2.0554563059675872</v>
      </c>
      <c r="V440" s="158">
        <f t="shared" si="1224"/>
        <v>2.488947479223266</v>
      </c>
      <c r="W440" s="180">
        <f t="shared" si="1224"/>
        <v>2.7519494091481551</v>
      </c>
      <c r="X440" s="181"/>
      <c r="Y440" s="147"/>
      <c r="Z440" s="127"/>
    </row>
    <row r="441" spans="1:26" x14ac:dyDescent="0.25">
      <c r="A441" s="133" t="s">
        <v>2</v>
      </c>
      <c r="B441" s="158">
        <f t="shared" ref="B441:H441" si="1237">+B280/B119</f>
        <v>2.9109676777475157</v>
      </c>
      <c r="C441" s="158">
        <f t="shared" si="1237"/>
        <v>2.9380122950819669</v>
      </c>
      <c r="D441" s="158">
        <f t="shared" si="1237"/>
        <v>2.8262213976499688</v>
      </c>
      <c r="E441" s="158">
        <f t="shared" si="1237"/>
        <v>2.6036569662631983</v>
      </c>
      <c r="F441" s="158">
        <f t="shared" si="1237"/>
        <v>1.8051516410469464</v>
      </c>
      <c r="G441" s="158">
        <f t="shared" si="1237"/>
        <v>1.8578281726995203</v>
      </c>
      <c r="H441" s="158">
        <f t="shared" si="1237"/>
        <v>2.2878362786682493</v>
      </c>
      <c r="I441" s="158">
        <f t="shared" si="1229"/>
        <v>2.6843853820598009</v>
      </c>
      <c r="J441" s="180">
        <f t="shared" ref="J441" si="1238">+J280/J119</f>
        <v>2.8364817001180636</v>
      </c>
      <c r="K441" s="181"/>
      <c r="L441" s="127"/>
      <c r="M441" s="2"/>
      <c r="N441" s="133" t="s">
        <v>2</v>
      </c>
      <c r="O441" s="158">
        <f t="shared" ref="O441:U441" si="1239">+O280/O119</f>
        <v>2.4632467239874591</v>
      </c>
      <c r="P441" s="158">
        <f t="shared" si="1239"/>
        <v>2.5530806514037541</v>
      </c>
      <c r="Q441" s="158">
        <f t="shared" si="1239"/>
        <v>2.4086596515439025</v>
      </c>
      <c r="R441" s="158">
        <f t="shared" si="1239"/>
        <v>2.4404686681951944</v>
      </c>
      <c r="S441" s="158">
        <f t="shared" si="1239"/>
        <v>2.250115622976598</v>
      </c>
      <c r="T441" s="158">
        <f t="shared" si="1239"/>
        <v>1.9171771290118931</v>
      </c>
      <c r="U441" s="158">
        <f t="shared" si="1239"/>
        <v>2.0876840038161517</v>
      </c>
      <c r="V441" s="158">
        <f t="shared" si="1224"/>
        <v>2.5242816246465809</v>
      </c>
      <c r="W441" s="180">
        <f t="shared" ref="W441:W448" si="1240">+W280/W119</f>
        <v>2.7649415072817463</v>
      </c>
      <c r="X441" s="181"/>
      <c r="Y441" s="147"/>
      <c r="Z441" s="127"/>
    </row>
    <row r="442" spans="1:26" x14ac:dyDescent="0.25">
      <c r="A442" s="133" t="s">
        <v>3</v>
      </c>
      <c r="B442" s="158">
        <f t="shared" ref="B442:H449" si="1241">+B281/B120</f>
        <v>2.8901210984221248</v>
      </c>
      <c r="C442" s="158">
        <f t="shared" si="1241"/>
        <v>2.8364795292963962</v>
      </c>
      <c r="D442" s="158">
        <f t="shared" si="1241"/>
        <v>2.7877978178579381</v>
      </c>
      <c r="E442" s="158">
        <f t="shared" si="1241"/>
        <v>2.7559291504052839</v>
      </c>
      <c r="F442" s="158">
        <f t="shared" si="1241"/>
        <v>1.6294838145231847</v>
      </c>
      <c r="G442" s="158">
        <f t="shared" si="1241"/>
        <v>2.378181818181818</v>
      </c>
      <c r="H442" s="158">
        <f t="shared" si="1241"/>
        <v>2.0335792259283849</v>
      </c>
      <c r="I442" s="158">
        <f t="shared" si="1229"/>
        <v>3.4412955465587043</v>
      </c>
      <c r="J442" s="180">
        <f t="shared" ref="J442:J448" si="1242">+J281/J120</f>
        <v>2.1452446065025828</v>
      </c>
      <c r="K442" s="181"/>
      <c r="L442" s="127"/>
      <c r="M442" s="2"/>
      <c r="N442" s="133" t="s">
        <v>3</v>
      </c>
      <c r="O442" s="158">
        <f t="shared" ref="O442:U442" si="1243">+O281/O120</f>
        <v>2.500624223237526</v>
      </c>
      <c r="P442" s="158">
        <f t="shared" si="1243"/>
        <v>2.5491996247927045</v>
      </c>
      <c r="Q442" s="158">
        <f t="shared" si="1243"/>
        <v>2.4079339522455552</v>
      </c>
      <c r="R442" s="158">
        <f t="shared" si="1243"/>
        <v>2.4310818535523966</v>
      </c>
      <c r="S442" s="158">
        <f t="shared" si="1243"/>
        <v>2.1683304398148149</v>
      </c>
      <c r="T442" s="158">
        <f t="shared" si="1243"/>
        <v>1.9818594104308389</v>
      </c>
      <c r="U442" s="158">
        <f t="shared" si="1243"/>
        <v>2.0575725586690568</v>
      </c>
      <c r="V442" s="158">
        <f t="shared" si="1224"/>
        <v>2.6438396821704355</v>
      </c>
      <c r="W442" s="180">
        <f t="shared" si="1240"/>
        <v>2.6686224622254531</v>
      </c>
      <c r="X442" s="181"/>
      <c r="Y442" s="147"/>
      <c r="Z442" s="127"/>
    </row>
    <row r="443" spans="1:26" x14ac:dyDescent="0.25">
      <c r="A443" s="133" t="s">
        <v>4</v>
      </c>
      <c r="B443" s="158">
        <f t="shared" ref="B443:F443" si="1244">+B282/B121</f>
        <v>2.7558314244193203</v>
      </c>
      <c r="C443" s="158">
        <f t="shared" si="1244"/>
        <v>2.5977376463584041</v>
      </c>
      <c r="D443" s="158">
        <f t="shared" si="1244"/>
        <v>2.1234485072123452</v>
      </c>
      <c r="E443" s="158">
        <f t="shared" si="1244"/>
        <v>2.8870872058532724</v>
      </c>
      <c r="F443" s="158">
        <f t="shared" si="1244"/>
        <v>2.4897400820793436</v>
      </c>
      <c r="G443" s="158">
        <f t="shared" si="1241"/>
        <v>2.6293005240373657</v>
      </c>
      <c r="H443" s="158">
        <f t="shared" ref="H443" si="1245">+H282/H121</f>
        <v>2.6981851887090684</v>
      </c>
      <c r="I443" s="158">
        <f t="shared" si="1229"/>
        <v>3.0345753608593489</v>
      </c>
      <c r="J443" s="180">
        <f t="shared" si="1242"/>
        <v>3.2855022266204852</v>
      </c>
      <c r="K443" s="181"/>
      <c r="L443" s="127"/>
      <c r="M443" s="2"/>
      <c r="N443" s="133" t="s">
        <v>4</v>
      </c>
      <c r="O443" s="158">
        <f t="shared" ref="O443:U443" si="1246">+O282/O121</f>
        <v>2.4985426329116383</v>
      </c>
      <c r="P443" s="158">
        <f t="shared" si="1246"/>
        <v>2.5389833800751709</v>
      </c>
      <c r="Q443" s="158">
        <f t="shared" si="1246"/>
        <v>2.3632071494814939</v>
      </c>
      <c r="R443" s="158">
        <f t="shared" si="1246"/>
        <v>2.5087199489929866</v>
      </c>
      <c r="S443" s="158">
        <f t="shared" si="1246"/>
        <v>2.1226852710876907</v>
      </c>
      <c r="T443" s="158">
        <f t="shared" si="1246"/>
        <v>1.9982080339809853</v>
      </c>
      <c r="U443" s="158">
        <f t="shared" si="1246"/>
        <v>2.0507258178590386</v>
      </c>
      <c r="V443" s="158">
        <f t="shared" si="1224"/>
        <v>2.6679938051641905</v>
      </c>
      <c r="W443" s="180">
        <f t="shared" si="1240"/>
        <v>2.7040751875900053</v>
      </c>
      <c r="X443" s="181"/>
      <c r="Y443" s="147"/>
      <c r="Z443" s="127"/>
    </row>
    <row r="444" spans="1:26" x14ac:dyDescent="0.25">
      <c r="A444" s="133" t="s">
        <v>5</v>
      </c>
      <c r="B444" s="158">
        <f t="shared" ref="B444:F444" si="1247">+B283/B122</f>
        <v>2.4978784548114392</v>
      </c>
      <c r="C444" s="158">
        <f t="shared" si="1247"/>
        <v>2.8673451169434028</v>
      </c>
      <c r="D444" s="158">
        <f t="shared" si="1247"/>
        <v>2.9387113672079623</v>
      </c>
      <c r="E444" s="158">
        <f t="shared" si="1247"/>
        <v>2.5643349039507068</v>
      </c>
      <c r="F444" s="158">
        <f t="shared" si="1247"/>
        <v>1.4567171530599681</v>
      </c>
      <c r="G444" s="158">
        <f t="shared" si="1241"/>
        <v>1.9301909307875895</v>
      </c>
      <c r="H444" s="158">
        <f t="shared" ref="H444" si="1248">+H283/H122</f>
        <v>2.9154681500817312</v>
      </c>
      <c r="I444" s="158">
        <f t="shared" si="1229"/>
        <v>3.1962118970109503</v>
      </c>
      <c r="J444" s="180">
        <f t="shared" si="1242"/>
        <v>2.8187744458930899</v>
      </c>
      <c r="K444" s="181"/>
      <c r="L444" s="127"/>
      <c r="M444" s="2"/>
      <c r="N444" s="133" t="s">
        <v>5</v>
      </c>
      <c r="O444" s="158">
        <f t="shared" ref="O444:U444" si="1249">+O283/O122</f>
        <v>2.5193673903883851</v>
      </c>
      <c r="P444" s="158">
        <f t="shared" si="1249"/>
        <v>2.5765914915753596</v>
      </c>
      <c r="Q444" s="158">
        <f t="shared" si="1249"/>
        <v>2.3711531019165086</v>
      </c>
      <c r="R444" s="158">
        <f t="shared" si="1249"/>
        <v>2.4681363781840089</v>
      </c>
      <c r="S444" s="158">
        <f t="shared" si="1249"/>
        <v>1.9838221498486646</v>
      </c>
      <c r="T444" s="158">
        <f t="shared" si="1249"/>
        <v>2.0651804526609125</v>
      </c>
      <c r="U444" s="158">
        <f t="shared" si="1249"/>
        <v>2.1328782415570133</v>
      </c>
      <c r="V444" s="158">
        <f t="shared" si="1224"/>
        <v>2.683512632449216</v>
      </c>
      <c r="W444" s="180">
        <f t="shared" si="1240"/>
        <v>2.6735269875365288</v>
      </c>
      <c r="X444" s="181"/>
      <c r="Y444" s="147"/>
      <c r="Z444" s="127"/>
    </row>
    <row r="445" spans="1:26" x14ac:dyDescent="0.25">
      <c r="A445" s="133" t="s">
        <v>6</v>
      </c>
      <c r="B445" s="158">
        <f t="shared" ref="B445:F445" si="1250">+B284/B123</f>
        <v>2.4977808617084687</v>
      </c>
      <c r="C445" s="158">
        <f t="shared" si="1250"/>
        <v>1.7266391693926897</v>
      </c>
      <c r="D445" s="158">
        <f t="shared" si="1250"/>
        <v>2.1875792141951838</v>
      </c>
      <c r="E445" s="158">
        <f t="shared" si="1250"/>
        <v>1.9429153924566769</v>
      </c>
      <c r="F445" s="158">
        <f t="shared" si="1250"/>
        <v>1.8534743202416919</v>
      </c>
      <c r="G445" s="158">
        <f t="shared" si="1241"/>
        <v>2.0177701347090857</v>
      </c>
      <c r="H445" s="158">
        <f t="shared" ref="H445:H448" si="1251">+H284/H123</f>
        <v>2.3624921573473769</v>
      </c>
      <c r="I445" s="158">
        <f t="shared" si="1229"/>
        <v>2.0695286980867942</v>
      </c>
      <c r="J445" s="180">
        <f t="shared" si="1242"/>
        <v>2.8435737607598695</v>
      </c>
      <c r="K445" s="181"/>
      <c r="L445" s="127"/>
      <c r="M445" s="2"/>
      <c r="N445" s="133" t="s">
        <v>6</v>
      </c>
      <c r="O445" s="158">
        <f t="shared" ref="O445:U445" si="1252">+O284/O123</f>
        <v>2.493516940327082</v>
      </c>
      <c r="P445" s="158">
        <f t="shared" si="1252"/>
        <v>2.4813822380983677</v>
      </c>
      <c r="Q445" s="158">
        <f t="shared" si="1252"/>
        <v>2.4387257076936733</v>
      </c>
      <c r="R445" s="158">
        <f t="shared" si="1252"/>
        <v>2.4409638108622889</v>
      </c>
      <c r="S445" s="158">
        <f t="shared" si="1252"/>
        <v>1.9724455438741151</v>
      </c>
      <c r="T445" s="158">
        <f t="shared" si="1252"/>
        <v>2.083262962337443</v>
      </c>
      <c r="U445" s="158">
        <f t="shared" si="1252"/>
        <v>2.1693268069886629</v>
      </c>
      <c r="V445" s="158">
        <f t="shared" si="1224"/>
        <v>2.6631407359459427</v>
      </c>
      <c r="W445" s="180">
        <f t="shared" si="1240"/>
        <v>2.7543456032719842</v>
      </c>
      <c r="X445" s="181"/>
      <c r="Y445" s="147"/>
      <c r="Z445" s="127"/>
    </row>
    <row r="446" spans="1:26" x14ac:dyDescent="0.25">
      <c r="A446" s="133" t="s">
        <v>7</v>
      </c>
      <c r="B446" s="158">
        <f t="shared" ref="B446:F446" si="1253">+B285/B124</f>
        <v>2.7706873898202131</v>
      </c>
      <c r="C446" s="158">
        <f t="shared" si="1253"/>
        <v>2.49570692615913</v>
      </c>
      <c r="D446" s="158">
        <f t="shared" si="1253"/>
        <v>2.8732659299318128</v>
      </c>
      <c r="E446" s="158">
        <f t="shared" si="1253"/>
        <v>2.1973278520041108</v>
      </c>
      <c r="F446" s="158">
        <f t="shared" si="1253"/>
        <v>2.180534098433017</v>
      </c>
      <c r="G446" s="158">
        <f t="shared" si="1241"/>
        <v>2.4537731134432783</v>
      </c>
      <c r="H446" s="158">
        <f t="shared" si="1251"/>
        <v>1.9739582909212317</v>
      </c>
      <c r="I446" s="158">
        <f t="shared" si="1229"/>
        <v>2.9778348859620944</v>
      </c>
      <c r="J446" s="180">
        <f t="shared" si="1242"/>
        <v>2.9786724179247548</v>
      </c>
      <c r="K446" s="181"/>
      <c r="L446" s="127"/>
      <c r="M446" s="2"/>
      <c r="N446" s="133" t="s">
        <v>7</v>
      </c>
      <c r="O446" s="158">
        <f t="shared" ref="O446:U446" si="1254">+O285/O124</f>
        <v>2.4839258587712165</v>
      </c>
      <c r="P446" s="158">
        <f t="shared" si="1254"/>
        <v>2.4603672493599418</v>
      </c>
      <c r="Q446" s="158">
        <f t="shared" si="1254"/>
        <v>2.4667160431381761</v>
      </c>
      <c r="R446" s="158">
        <f t="shared" si="1254"/>
        <v>2.3856717072903137</v>
      </c>
      <c r="S446" s="158">
        <f t="shared" si="1254"/>
        <v>1.9698330972044646</v>
      </c>
      <c r="T446" s="158">
        <f t="shared" si="1254"/>
        <v>2.1010207733337878</v>
      </c>
      <c r="U446" s="158">
        <f t="shared" si="1254"/>
        <v>2.1307615769286858</v>
      </c>
      <c r="V446" s="158">
        <f t="shared" si="1224"/>
        <v>2.8121336878520169</v>
      </c>
      <c r="W446" s="180">
        <f t="shared" si="1240"/>
        <v>2.7603285216525637</v>
      </c>
      <c r="X446" s="181"/>
      <c r="Y446" s="147"/>
      <c r="Z446" s="127"/>
    </row>
    <row r="447" spans="1:26" x14ac:dyDescent="0.25">
      <c r="A447" s="133" t="s">
        <v>8</v>
      </c>
      <c r="B447" s="158">
        <f t="shared" ref="B447:F447" si="1255">+B286/B125</f>
        <v>1.8870891649630444</v>
      </c>
      <c r="C447" s="158">
        <f t="shared" si="1255"/>
        <v>2.0379909851899551</v>
      </c>
      <c r="D447" s="158">
        <f t="shared" si="1255"/>
        <v>2.0977443609022557</v>
      </c>
      <c r="E447" s="158">
        <f t="shared" si="1255"/>
        <v>1.6830294530154277</v>
      </c>
      <c r="F447" s="158">
        <f t="shared" si="1255"/>
        <v>1.9455484896661368</v>
      </c>
      <c r="G447" s="158">
        <f t="shared" si="1241"/>
        <v>2.246800731261426</v>
      </c>
      <c r="H447" s="158">
        <f t="shared" si="1251"/>
        <v>2.7663817663817665</v>
      </c>
      <c r="I447" s="158">
        <f t="shared" si="1229"/>
        <v>2.4836212030970817</v>
      </c>
      <c r="J447" s="180">
        <f t="shared" si="1242"/>
        <v>2.968877968877969</v>
      </c>
      <c r="K447" s="181"/>
      <c r="L447" s="127"/>
      <c r="M447" s="2"/>
      <c r="N447" s="133" t="s">
        <v>8</v>
      </c>
      <c r="O447" s="158">
        <f t="shared" ref="O447:U447" si="1256">+O286/O125</f>
        <v>2.4272372897956607</v>
      </c>
      <c r="P447" s="158">
        <f t="shared" si="1256"/>
        <v>2.477733206418276</v>
      </c>
      <c r="Q447" s="158">
        <f t="shared" si="1256"/>
        <v>2.4795740383732672</v>
      </c>
      <c r="R447" s="158">
        <f t="shared" si="1256"/>
        <v>2.3323055963861896</v>
      </c>
      <c r="S447" s="158">
        <f t="shared" si="1256"/>
        <v>2.0002478183137735</v>
      </c>
      <c r="T447" s="158">
        <f t="shared" si="1256"/>
        <v>2.1277423501750703</v>
      </c>
      <c r="U447" s="158">
        <f t="shared" si="1256"/>
        <v>2.1579727379159261</v>
      </c>
      <c r="V447" s="158">
        <f t="shared" si="1224"/>
        <v>2.7850681981335246</v>
      </c>
      <c r="W447" s="180">
        <f t="shared" si="1240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257">+B287/B126</f>
        <v>2.614522904580916</v>
      </c>
      <c r="C448" s="158">
        <f t="shared" si="1257"/>
        <v>2.1901229748194422</v>
      </c>
      <c r="D448" s="158">
        <f t="shared" si="1257"/>
        <v>2.11984171848502</v>
      </c>
      <c r="E448" s="158">
        <f t="shared" si="1257"/>
        <v>1.97632058287796</v>
      </c>
      <c r="F448" s="158">
        <f t="shared" si="1257"/>
        <v>1.5297241481044401</v>
      </c>
      <c r="G448" s="158">
        <f t="shared" si="1241"/>
        <v>1.2689083726755948</v>
      </c>
      <c r="H448" s="158">
        <f t="shared" si="1251"/>
        <v>2.5541967759866595</v>
      </c>
      <c r="I448" s="158">
        <f t="shared" si="1229"/>
        <v>2.6341613002146582</v>
      </c>
      <c r="J448" s="180">
        <f t="shared" si="1242"/>
        <v>3.8628824179874681</v>
      </c>
      <c r="K448" s="181"/>
      <c r="L448" s="127"/>
      <c r="M448" s="2"/>
      <c r="N448" s="133" t="s">
        <v>9</v>
      </c>
      <c r="O448" s="158">
        <f t="shared" ref="O448:U448" si="1258">+O287/O126</f>
        <v>2.4591124287357324</v>
      </c>
      <c r="P448" s="158">
        <f t="shared" si="1258"/>
        <v>2.4411425469841919</v>
      </c>
      <c r="Q448" s="158">
        <f t="shared" si="1258"/>
        <v>2.4717744149023768</v>
      </c>
      <c r="R448" s="158">
        <f t="shared" si="1258"/>
        <v>2.3243607734504561</v>
      </c>
      <c r="S448" s="158">
        <f t="shared" si="1258"/>
        <v>1.9478600543478257</v>
      </c>
      <c r="T448" s="158">
        <f t="shared" si="1258"/>
        <v>2.0502559033147851</v>
      </c>
      <c r="U448" s="158">
        <f t="shared" si="1258"/>
        <v>2.3633075415518556</v>
      </c>
      <c r="V448" s="158">
        <f t="shared" si="1224"/>
        <v>2.7948851774530272</v>
      </c>
      <c r="W448" s="180">
        <f t="shared" si="1240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259">+B288/B127</f>
        <v>2.459112428735732</v>
      </c>
      <c r="C449" s="182">
        <f t="shared" si="1259"/>
        <v>2.4411425469841919</v>
      </c>
      <c r="D449" s="182">
        <f t="shared" si="1259"/>
        <v>2.4717744149023768</v>
      </c>
      <c r="E449" s="182">
        <f t="shared" si="1259"/>
        <v>2.3243607734504561</v>
      </c>
      <c r="F449" s="182">
        <f t="shared" si="1259"/>
        <v>1.9478600543478257</v>
      </c>
      <c r="G449" s="182">
        <f t="shared" si="1241"/>
        <v>2.0502559033147851</v>
      </c>
      <c r="H449" s="182">
        <f t="shared" ref="H449" si="1260">+H288/H127</f>
        <v>2.3633075415518556</v>
      </c>
      <c r="I449" s="182">
        <f t="shared" ref="I449" si="1261">+I288/I127</f>
        <v>2.7948851774530272</v>
      </c>
      <c r="J449" s="183">
        <f t="shared" ref="J449" si="1262">+J288/J127</f>
        <v>2.885370389503048</v>
      </c>
      <c r="K449" s="183"/>
      <c r="L449" s="137"/>
      <c r="M449" s="3"/>
      <c r="N449" s="134" t="s">
        <v>14</v>
      </c>
      <c r="O449" s="182">
        <f t="shared" ref="O449:W449" si="1263">+O288/O127</f>
        <v>2.487777502405621</v>
      </c>
      <c r="P449" s="182">
        <f t="shared" si="1263"/>
        <v>2.4979988624256144</v>
      </c>
      <c r="Q449" s="182">
        <f t="shared" si="1263"/>
        <v>2.4204187930838175</v>
      </c>
      <c r="R449" s="182">
        <f t="shared" si="1263"/>
        <v>2.4448223059940593</v>
      </c>
      <c r="S449" s="182">
        <f t="shared" si="1263"/>
        <v>2.1239419606952037</v>
      </c>
      <c r="T449" s="182">
        <f t="shared" si="1263"/>
        <v>2.0026671410741126</v>
      </c>
      <c r="U449" s="182">
        <f t="shared" si="1263"/>
        <v>2.1194849671122777</v>
      </c>
      <c r="V449" s="182">
        <f t="shared" si="1263"/>
        <v>2.5823775801923481</v>
      </c>
      <c r="W449" s="183">
        <f t="shared" si="1263"/>
        <v>2.7653996225701309</v>
      </c>
      <c r="X449" s="183">
        <f t="shared" ref="X449" si="1264">+X288/X127</f>
        <v>2.9631321026469712</v>
      </c>
      <c r="Y449" s="149">
        <f>+X449/W449-1</f>
        <v>7.1502316866981497E-2</v>
      </c>
      <c r="Z449" s="156">
        <f>+POWER(X449/S449,0.2)-1</f>
        <v>6.88620894960843E-2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265">+C449/C$485</f>
        <v>0.64716349142443397</v>
      </c>
      <c r="D450" s="138">
        <f t="shared" ref="D450" si="1266">+D449/D$485</f>
        <v>0.64972251659298041</v>
      </c>
      <c r="E450" s="138">
        <f t="shared" ref="E450" si="1267">+E449/E$485</f>
        <v>0.68353615539744472</v>
      </c>
      <c r="F450" s="138">
        <f t="shared" ref="F450:G450" si="1268">+F449/F$485</f>
        <v>0.70841028848495924</v>
      </c>
      <c r="G450" s="138">
        <f t="shared" si="1268"/>
        <v>0.6702909442977677</v>
      </c>
      <c r="H450" s="138">
        <f t="shared" ref="H450" si="1269">+H449/H$485</f>
        <v>0.72750890276698776</v>
      </c>
      <c r="I450" s="138">
        <f t="shared" ref="I450" si="1270">+I449/I$485</f>
        <v>0.79071104426848504</v>
      </c>
      <c r="J450" s="139">
        <f t="shared" ref="J450" si="1271">+J449/J$485</f>
        <v>0.8126570552816923</v>
      </c>
      <c r="K450" s="139"/>
      <c r="L450" s="140"/>
      <c r="M450" s="3"/>
      <c r="N450" s="135" t="s">
        <v>15</v>
      </c>
      <c r="O450" s="138">
        <f t="shared" ref="O450" si="1272">+O449/O$485</f>
        <v>0.72972124644928249</v>
      </c>
      <c r="P450" s="138">
        <f t="shared" ref="P450" si="1273">+P449/P$485</f>
        <v>0.69084978222167104</v>
      </c>
      <c r="Q450" s="138">
        <f t="shared" ref="Q450" si="1274">+Q449/Q$485</f>
        <v>0.6271954863479372</v>
      </c>
      <c r="R450" s="138">
        <f t="shared" ref="R450" si="1275">+R449/R$485</f>
        <v>0.68102638179883723</v>
      </c>
      <c r="S450" s="138">
        <f t="shared" ref="S450:W450" si="1276">+S449/S$485</f>
        <v>0.70752168797769743</v>
      </c>
      <c r="T450" s="138">
        <f t="shared" si="1276"/>
        <v>0.69115685539061411</v>
      </c>
      <c r="U450" s="138">
        <f t="shared" si="1276"/>
        <v>0.67359068289040536</v>
      </c>
      <c r="V450" s="138">
        <f t="shared" si="1276"/>
        <v>0.75848986715363287</v>
      </c>
      <c r="W450" s="139">
        <f t="shared" si="1276"/>
        <v>0.78021512369975921</v>
      </c>
      <c r="X450" s="139">
        <f t="shared" ref="X450" si="1277">+X449/X$485</f>
        <v>0.83056961841875065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278">+D449/C449-1</f>
        <v>1.2548168461537834E-2</v>
      </c>
      <c r="E451" s="142">
        <f t="shared" ref="E451" si="1279">+E449/D449-1</f>
        <v>-5.9638792505966931E-2</v>
      </c>
      <c r="F451" s="142">
        <f t="shared" ref="F451:J451" si="1280">+F449/E449-1</f>
        <v>-0.16198032741007085</v>
      </c>
      <c r="G451" s="142">
        <f t="shared" si="1280"/>
        <v>5.2568380740906528E-2</v>
      </c>
      <c r="H451" s="142">
        <f t="shared" si="1280"/>
        <v>0.15268905590318704</v>
      </c>
      <c r="I451" s="142">
        <f t="shared" si="1280"/>
        <v>0.18261594325458708</v>
      </c>
      <c r="J451" s="143">
        <f t="shared" si="1280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281">+Q449/P449-1</f>
        <v>-3.1056887378429376E-2</v>
      </c>
      <c r="R451" s="142">
        <f t="shared" ref="R451" si="1282">+R449/Q449-1</f>
        <v>1.0082351442640025E-2</v>
      </c>
      <c r="S451" s="142">
        <f t="shared" ref="S451" si="1283">+S449/R449-1</f>
        <v>-0.13124894374210416</v>
      </c>
      <c r="T451" s="142">
        <f t="shared" ref="T451" si="1284">+T449/S449-1</f>
        <v>-5.7098932958316695E-2</v>
      </c>
      <c r="U451" s="142">
        <f t="shared" ref="U451" si="1285">+U449/T449-1</f>
        <v>5.8331124350255781E-2</v>
      </c>
      <c r="V451" s="142">
        <f t="shared" ref="V451" si="1286">+V449/U449-1</f>
        <v>0.21839862997978465</v>
      </c>
      <c r="W451" s="143">
        <f t="shared" ref="W451:X451" si="1287">+W449/V449-1</f>
        <v>7.0873463192067554E-2</v>
      </c>
      <c r="X451" s="143">
        <f t="shared" si="1287"/>
        <v>7.1502316866981497E-2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47" t="s">
        <v>96</v>
      </c>
      <c r="B453" s="348"/>
      <c r="C453" s="348"/>
      <c r="D453" s="348"/>
      <c r="E453" s="348"/>
      <c r="F453" s="348"/>
      <c r="G453" s="348"/>
      <c r="H453" s="348"/>
      <c r="I453" s="348"/>
      <c r="J453" s="348"/>
      <c r="K453" s="348"/>
      <c r="L453" s="349"/>
      <c r="M453" s="2"/>
      <c r="N453" s="347" t="s">
        <v>97</v>
      </c>
      <c r="O453" s="348"/>
      <c r="P453" s="348"/>
      <c r="Q453" s="348"/>
      <c r="R453" s="348"/>
      <c r="S453" s="348"/>
      <c r="T453" s="348"/>
      <c r="U453" s="348"/>
      <c r="V453" s="348"/>
      <c r="W453" s="348"/>
      <c r="X453" s="348"/>
      <c r="Y453" s="348"/>
      <c r="Z453" s="34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288">+C454+1</f>
        <v>2018</v>
      </c>
      <c r="E454" s="129">
        <f t="shared" ref="E454" si="1289">+D454+1</f>
        <v>2019</v>
      </c>
      <c r="F454" s="129">
        <f t="shared" ref="F454" si="1290">+E454+1</f>
        <v>2020</v>
      </c>
      <c r="G454" s="129">
        <f t="shared" ref="G454" si="1291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292">+P454+1</f>
        <v>2018</v>
      </c>
      <c r="R454" s="129">
        <f t="shared" ref="R454" si="1293">+Q454+1</f>
        <v>2019</v>
      </c>
      <c r="S454" s="129">
        <f t="shared" ref="S454" si="1294">+R454+1</f>
        <v>2020</v>
      </c>
      <c r="T454" s="129">
        <f t="shared" ref="T454" si="1295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296">+C294/C133</f>
        <v>2.6083014011173837</v>
      </c>
      <c r="D455" s="158">
        <f t="shared" si="1296"/>
        <v>2.9424003504161194</v>
      </c>
      <c r="E455" s="158">
        <f t="shared" si="1296"/>
        <v>2.3407519109770685</v>
      </c>
      <c r="F455" s="158">
        <f t="shared" si="1296"/>
        <v>2.0930288751963277</v>
      </c>
      <c r="G455" s="158">
        <f t="shared" si="1296"/>
        <v>2.1180703188879804</v>
      </c>
      <c r="H455" s="158">
        <f t="shared" si="1296"/>
        <v>2.2657552517505835</v>
      </c>
      <c r="I455" s="158">
        <f t="shared" ref="I455:J455" si="1297">+I294/I133</f>
        <v>3.0620543966200158</v>
      </c>
      <c r="J455" s="180">
        <f t="shared" si="1297"/>
        <v>4.3797101449275369</v>
      </c>
      <c r="K455" s="181">
        <f t="shared" ref="K455" si="1298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299">+P294/P133</f>
        <v>2.9134845303398209</v>
      </c>
      <c r="Q455" s="158">
        <f t="shared" si="1299"/>
        <v>3.2536876014241773</v>
      </c>
      <c r="R455" s="158">
        <f t="shared" si="1299"/>
        <v>3.1385107386889879</v>
      </c>
      <c r="S455" s="158">
        <f t="shared" si="1299"/>
        <v>2.7322931253267617</v>
      </c>
      <c r="T455" s="158">
        <f t="shared" si="1299"/>
        <v>2.2933817832530616</v>
      </c>
      <c r="U455" s="158">
        <f t="shared" si="1299"/>
        <v>2.830677893340098</v>
      </c>
      <c r="V455" s="158">
        <f t="shared" si="1299"/>
        <v>3.2596556061816662</v>
      </c>
      <c r="W455" s="180">
        <f t="shared" si="1299"/>
        <v>4.2538962551838768</v>
      </c>
      <c r="X455" s="181">
        <f t="shared" ref="X455" si="1300">+X294/X133</f>
        <v>4.3263949421859076</v>
      </c>
      <c r="Y455" s="147">
        <f t="shared" ref="Y455:Y457" si="1301">+X455/W455-1</f>
        <v>1.7042890247660036E-2</v>
      </c>
      <c r="Z455" s="127">
        <f t="shared" ref="Z455:Z457" si="1302">+POWER(X455/S455,0.2)-1</f>
        <v>9.6275666929257042E-2</v>
      </c>
    </row>
    <row r="456" spans="1:26" x14ac:dyDescent="0.25">
      <c r="A456" s="133" t="s">
        <v>11</v>
      </c>
      <c r="B456" s="158">
        <f t="shared" ref="B456:G456" si="1303">+B295/B134</f>
        <v>2.830828699277923</v>
      </c>
      <c r="C456" s="158">
        <f t="shared" si="1303"/>
        <v>2.7153256704980842</v>
      </c>
      <c r="D456" s="158">
        <f t="shared" si="1303"/>
        <v>3.233227606696913</v>
      </c>
      <c r="E456" s="158">
        <f t="shared" si="1303"/>
        <v>2.6072066163879475</v>
      </c>
      <c r="F456" s="158">
        <f t="shared" si="1303"/>
        <v>2.0270062519216969</v>
      </c>
      <c r="G456" s="158">
        <f t="shared" si="1303"/>
        <v>2.4721437661007477</v>
      </c>
      <c r="H456" s="158">
        <f t="shared" si="1296"/>
        <v>3.1724662576687122</v>
      </c>
      <c r="I456" s="158">
        <f t="shared" ref="I456:J466" si="1304">+I295/I134</f>
        <v>4.1729296902437314</v>
      </c>
      <c r="J456" s="180">
        <f t="shared" si="1304"/>
        <v>3.589180282850474</v>
      </c>
      <c r="K456" s="181">
        <f t="shared" ref="K456:K457" si="1305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306">+O295/O134</f>
        <v>2.9016117708760794</v>
      </c>
      <c r="P456" s="158">
        <f t="shared" si="1306"/>
        <v>2.906889725655172</v>
      </c>
      <c r="Q456" s="158">
        <f t="shared" si="1306"/>
        <v>3.2948347477841287</v>
      </c>
      <c r="R456" s="158">
        <f t="shared" si="1306"/>
        <v>3.0895286777418622</v>
      </c>
      <c r="S456" s="158">
        <f t="shared" si="1306"/>
        <v>2.6708650977792505</v>
      </c>
      <c r="T456" s="158">
        <f t="shared" si="1306"/>
        <v>2.3305545904479659</v>
      </c>
      <c r="U456" s="158">
        <f t="shared" si="1306"/>
        <v>2.8771839490420263</v>
      </c>
      <c r="V456" s="158">
        <f t="shared" si="1299"/>
        <v>3.3096473080189255</v>
      </c>
      <c r="W456" s="180">
        <f t="shared" si="1299"/>
        <v>4.2098105191341553</v>
      </c>
      <c r="X456" s="181">
        <f t="shared" ref="X456:X457" si="1307">+X295/X134</f>
        <v>4.3668045830681104</v>
      </c>
      <c r="Y456" s="147">
        <f t="shared" si="1301"/>
        <v>3.7292429961015117E-2</v>
      </c>
      <c r="Z456" s="127">
        <f t="shared" si="1302"/>
        <v>0.10332221063143221</v>
      </c>
    </row>
    <row r="457" spans="1:26" x14ac:dyDescent="0.25">
      <c r="A457" s="133" t="s">
        <v>0</v>
      </c>
      <c r="B457" s="158">
        <f t="shared" ref="B457:G457" si="1308">+B296/B135</f>
        <v>2.7758767269156133</v>
      </c>
      <c r="C457" s="158">
        <f t="shared" si="1308"/>
        <v>3.4379956887786229</v>
      </c>
      <c r="D457" s="158">
        <f t="shared" si="1308"/>
        <v>3.6318252730109202</v>
      </c>
      <c r="E457" s="158">
        <f t="shared" si="1308"/>
        <v>2.9900836362353109</v>
      </c>
      <c r="F457" s="158">
        <f t="shared" si="1308"/>
        <v>2.4009900990099009</v>
      </c>
      <c r="G457" s="158">
        <f t="shared" si="1308"/>
        <v>2.7682289483245297</v>
      </c>
      <c r="H457" s="158">
        <f t="shared" si="1296"/>
        <v>3.0254524031921139</v>
      </c>
      <c r="I457" s="158">
        <f t="shared" si="1304"/>
        <v>3.8674760166397832</v>
      </c>
      <c r="J457" s="180">
        <f t="shared" si="1304"/>
        <v>4.3115569950233033</v>
      </c>
      <c r="K457" s="181">
        <f t="shared" si="1305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309">+O296/O135</f>
        <v>2.897757962879798</v>
      </c>
      <c r="P457" s="158">
        <f t="shared" si="1309"/>
        <v>2.9536606406032404</v>
      </c>
      <c r="Q457" s="158">
        <f t="shared" si="1309"/>
        <v>3.3071928209425878</v>
      </c>
      <c r="R457" s="158">
        <f t="shared" si="1309"/>
        <v>3.0469327420546923</v>
      </c>
      <c r="S457" s="158">
        <f t="shared" si="1309"/>
        <v>2.627403376091058</v>
      </c>
      <c r="T457" s="158">
        <f t="shared" si="1309"/>
        <v>2.3613261474617131</v>
      </c>
      <c r="U457" s="158">
        <f t="shared" si="1309"/>
        <v>2.8970833856109501</v>
      </c>
      <c r="V457" s="158">
        <f t="shared" si="1299"/>
        <v>3.3794331836810936</v>
      </c>
      <c r="W457" s="180">
        <f t="shared" si="1299"/>
        <v>4.2610367132771376</v>
      </c>
      <c r="X457" s="181">
        <f t="shared" si="1307"/>
        <v>4.3980918381853522</v>
      </c>
      <c r="Y457" s="147">
        <f t="shared" si="1301"/>
        <v>3.2164736924504611E-2</v>
      </c>
      <c r="Z457" s="127">
        <f t="shared" si="1302"/>
        <v>0.10853014592162191</v>
      </c>
    </row>
    <row r="458" spans="1:26" x14ac:dyDescent="0.25">
      <c r="A458" s="133" t="s">
        <v>1</v>
      </c>
      <c r="B458" s="158">
        <f t="shared" ref="B458:H458" si="1310">+B297/B136</f>
        <v>3.1604034906617318</v>
      </c>
      <c r="C458" s="158">
        <f t="shared" si="1310"/>
        <v>3.3685373940808057</v>
      </c>
      <c r="D458" s="158">
        <f t="shared" si="1310"/>
        <v>3.1617452622300575</v>
      </c>
      <c r="E458" s="158">
        <f t="shared" si="1310"/>
        <v>2.8803569644700477</v>
      </c>
      <c r="F458" s="158">
        <f t="shared" si="1310"/>
        <v>2.1889075812666197</v>
      </c>
      <c r="G458" s="158">
        <f t="shared" si="1310"/>
        <v>2.6466954910438543</v>
      </c>
      <c r="H458" s="158">
        <f t="shared" si="1310"/>
        <v>1.8968370548225644</v>
      </c>
      <c r="I458" s="158">
        <f t="shared" si="1304"/>
        <v>4.3339995508645863</v>
      </c>
      <c r="J458" s="180">
        <f t="shared" si="1304"/>
        <v>3.655530146689721</v>
      </c>
      <c r="K458" s="181"/>
      <c r="L458" s="127"/>
      <c r="M458" s="2"/>
      <c r="N458" s="133" t="s">
        <v>1</v>
      </c>
      <c r="O458" s="158">
        <f t="shared" ref="O458:U458" si="1311">+O297/O136</f>
        <v>2.9052813755709486</v>
      </c>
      <c r="P458" s="158">
        <f t="shared" si="1311"/>
        <v>2.9623428981327402</v>
      </c>
      <c r="Q458" s="158">
        <f t="shared" si="1311"/>
        <v>3.2924369334464898</v>
      </c>
      <c r="R458" s="158">
        <f t="shared" si="1311"/>
        <v>3.0257489815410401</v>
      </c>
      <c r="S458" s="158">
        <f t="shared" si="1311"/>
        <v>2.5680992131645164</v>
      </c>
      <c r="T458" s="158">
        <f t="shared" si="1311"/>
        <v>2.3989318350491051</v>
      </c>
      <c r="U458" s="158">
        <f t="shared" si="1311"/>
        <v>2.8218085255737915</v>
      </c>
      <c r="V458" s="158">
        <f t="shared" si="1299"/>
        <v>3.6386708676174453</v>
      </c>
      <c r="W458" s="180">
        <f t="shared" si="1299"/>
        <v>4.197819895590098</v>
      </c>
      <c r="X458" s="181"/>
      <c r="Y458" s="147"/>
      <c r="Z458" s="127"/>
    </row>
    <row r="459" spans="1:26" x14ac:dyDescent="0.25">
      <c r="A459" s="133" t="s">
        <v>2</v>
      </c>
      <c r="B459" s="158">
        <f t="shared" ref="B459:H459" si="1312">+B298/B137</f>
        <v>2.9544631809365596</v>
      </c>
      <c r="C459" s="158">
        <f t="shared" si="1312"/>
        <v>3.6088828844042897</v>
      </c>
      <c r="D459" s="158">
        <f t="shared" si="1312"/>
        <v>3.3537824469920632</v>
      </c>
      <c r="E459" s="158">
        <f t="shared" si="1312"/>
        <v>2.9911378100279546</v>
      </c>
      <c r="F459" s="158">
        <f t="shared" si="1312"/>
        <v>1.8714139572121156</v>
      </c>
      <c r="G459" s="158">
        <f t="shared" si="1312"/>
        <v>3.8687266351275351</v>
      </c>
      <c r="H459" s="158">
        <f t="shared" si="1312"/>
        <v>3.4321860341107011</v>
      </c>
      <c r="I459" s="158">
        <f t="shared" si="1304"/>
        <v>3.8940342525999894</v>
      </c>
      <c r="J459" s="180">
        <f t="shared" ref="J459" si="1313">+J298/J137</f>
        <v>4.6058252427184465</v>
      </c>
      <c r="K459" s="181"/>
      <c r="L459" s="127"/>
      <c r="M459" s="2"/>
      <c r="N459" s="133" t="s">
        <v>2</v>
      </c>
      <c r="O459" s="158">
        <f t="shared" ref="O459:U459" si="1314">+O298/O137</f>
        <v>2.9190349688781945</v>
      </c>
      <c r="P459" s="158">
        <f t="shared" si="1314"/>
        <v>3.0053210050316927</v>
      </c>
      <c r="Q459" s="158">
        <f t="shared" si="1314"/>
        <v>3.2744416328100434</v>
      </c>
      <c r="R459" s="158">
        <f t="shared" si="1314"/>
        <v>2.9992418168033024</v>
      </c>
      <c r="S459" s="158">
        <f t="shared" si="1314"/>
        <v>2.457517260130313</v>
      </c>
      <c r="T459" s="158">
        <f t="shared" si="1314"/>
        <v>2.5594614139767593</v>
      </c>
      <c r="U459" s="158">
        <f t="shared" si="1314"/>
        <v>2.7876836467966313</v>
      </c>
      <c r="V459" s="158">
        <f t="shared" si="1299"/>
        <v>3.681859481071784</v>
      </c>
      <c r="W459" s="180">
        <f t="shared" ref="W459:W466" si="1315">+W298/W137</f>
        <v>4.2689843686943414</v>
      </c>
      <c r="X459" s="181"/>
      <c r="Y459" s="147"/>
      <c r="Z459" s="127"/>
    </row>
    <row r="460" spans="1:26" x14ac:dyDescent="0.25">
      <c r="A460" s="133" t="s">
        <v>3</v>
      </c>
      <c r="B460" s="158">
        <f t="shared" ref="B460:H467" si="1316">+B299/B138</f>
        <v>2.7912005191935991</v>
      </c>
      <c r="C460" s="158">
        <f t="shared" si="1316"/>
        <v>3.0322484323678704</v>
      </c>
      <c r="D460" s="158">
        <f t="shared" si="1316"/>
        <v>3.5568513119533534</v>
      </c>
      <c r="E460" s="158">
        <f t="shared" si="1316"/>
        <v>2.9961105594174113</v>
      </c>
      <c r="F460" s="158">
        <f t="shared" si="1316"/>
        <v>1.8318833764401599</v>
      </c>
      <c r="G460" s="158">
        <f t="shared" si="1316"/>
        <v>3.2921931341795907</v>
      </c>
      <c r="H460" s="158">
        <f t="shared" si="1316"/>
        <v>4.9185686228065464</v>
      </c>
      <c r="I460" s="158">
        <f t="shared" si="1304"/>
        <v>7.2806636410981334</v>
      </c>
      <c r="J460" s="180">
        <f t="shared" ref="J460:J466" si="1317">+J299/J138</f>
        <v>7.1717629294073237</v>
      </c>
      <c r="K460" s="181"/>
      <c r="L460" s="127"/>
      <c r="M460" s="2"/>
      <c r="N460" s="133" t="s">
        <v>3</v>
      </c>
      <c r="O460" s="158">
        <f t="shared" ref="O460:U460" si="1318">+O299/O138</f>
        <v>2.9037425071931304</v>
      </c>
      <c r="P460" s="158">
        <f t="shared" si="1318"/>
        <v>3.0260058614556216</v>
      </c>
      <c r="Q460" s="158">
        <f t="shared" si="1318"/>
        <v>3.3215059503249913</v>
      </c>
      <c r="R460" s="158">
        <f t="shared" si="1318"/>
        <v>2.9619816579849974</v>
      </c>
      <c r="S460" s="158">
        <f t="shared" si="1318"/>
        <v>2.3654292181624661</v>
      </c>
      <c r="T460" s="158">
        <f t="shared" si="1318"/>
        <v>2.6938956981494835</v>
      </c>
      <c r="U460" s="158">
        <f t="shared" si="1318"/>
        <v>2.8823923521103709</v>
      </c>
      <c r="V460" s="158">
        <f t="shared" si="1299"/>
        <v>3.7525936812983232</v>
      </c>
      <c r="W460" s="180">
        <f t="shared" si="1315"/>
        <v>4.2580353247256912</v>
      </c>
      <c r="X460" s="181"/>
      <c r="Y460" s="147"/>
      <c r="Z460" s="127"/>
    </row>
    <row r="461" spans="1:26" x14ac:dyDescent="0.25">
      <c r="A461" s="133" t="s">
        <v>4</v>
      </c>
      <c r="B461" s="158">
        <f t="shared" ref="B461:F461" si="1319">+B300/B139</f>
        <v>2.9476925807704659</v>
      </c>
      <c r="C461" s="158">
        <f t="shared" si="1319"/>
        <v>3.1191596992903814</v>
      </c>
      <c r="D461" s="158">
        <f t="shared" si="1319"/>
        <v>3.0497244048317107</v>
      </c>
      <c r="E461" s="158">
        <f t="shared" si="1319"/>
        <v>3.282984323149102</v>
      </c>
      <c r="F461" s="158">
        <f t="shared" si="1319"/>
        <v>2.644823190595345</v>
      </c>
      <c r="G461" s="158">
        <f t="shared" si="1316"/>
        <v>3.2424161392875184</v>
      </c>
      <c r="H461" s="158">
        <f t="shared" ref="H461" si="1320">+H300/H139</f>
        <v>3.6348076422356863</v>
      </c>
      <c r="I461" s="158">
        <f t="shared" si="1304"/>
        <v>4.0168130965172875</v>
      </c>
      <c r="J461" s="180">
        <f t="shared" si="1317"/>
        <v>4.8760763046477331</v>
      </c>
      <c r="K461" s="181"/>
      <c r="L461" s="127"/>
      <c r="M461" s="2"/>
      <c r="N461" s="133" t="s">
        <v>4</v>
      </c>
      <c r="O461" s="158">
        <f t="shared" ref="O461:U461" si="1321">+O300/O139</f>
        <v>2.8856723278321197</v>
      </c>
      <c r="P461" s="158">
        <f t="shared" si="1321"/>
        <v>3.040512900381557</v>
      </c>
      <c r="Q461" s="158">
        <f t="shared" si="1321"/>
        <v>3.3106765562521594</v>
      </c>
      <c r="R461" s="158">
        <f t="shared" si="1321"/>
        <v>2.9843818484247091</v>
      </c>
      <c r="S461" s="158">
        <f t="shared" si="1321"/>
        <v>2.3191912268677179</v>
      </c>
      <c r="T461" s="158">
        <f t="shared" si="1321"/>
        <v>2.7443144859411626</v>
      </c>
      <c r="U461" s="158">
        <f t="shared" si="1321"/>
        <v>2.8910771559186252</v>
      </c>
      <c r="V461" s="158">
        <f t="shared" si="1299"/>
        <v>3.779819351087411</v>
      </c>
      <c r="W461" s="180">
        <f t="shared" si="1315"/>
        <v>4.3461060838673502</v>
      </c>
      <c r="X461" s="181"/>
      <c r="Y461" s="147"/>
      <c r="Z461" s="127"/>
    </row>
    <row r="462" spans="1:26" x14ac:dyDescent="0.25">
      <c r="A462" s="133" t="s">
        <v>5</v>
      </c>
      <c r="B462" s="158">
        <f t="shared" ref="B462:F462" si="1322">+B301/B140</f>
        <v>2.8893867908108479</v>
      </c>
      <c r="C462" s="158">
        <f t="shared" si="1322"/>
        <v>3.1975928806384983</v>
      </c>
      <c r="D462" s="158">
        <f t="shared" si="1322"/>
        <v>3.4763042391243957</v>
      </c>
      <c r="E462" s="158">
        <f t="shared" si="1322"/>
        <v>2.7412059092440209</v>
      </c>
      <c r="F462" s="158">
        <f t="shared" si="1322"/>
        <v>2.2367211440245152</v>
      </c>
      <c r="G462" s="158">
        <f t="shared" si="1316"/>
        <v>2.4314949705168227</v>
      </c>
      <c r="H462" s="158">
        <f t="shared" ref="H462" si="1323">+H301/H140</f>
        <v>3.3622702459435305</v>
      </c>
      <c r="I462" s="158">
        <f t="shared" si="1304"/>
        <v>3.8562271062271063</v>
      </c>
      <c r="J462" s="180">
        <f t="shared" si="1317"/>
        <v>4.5289877781259795</v>
      </c>
      <c r="K462" s="181"/>
      <c r="L462" s="127"/>
      <c r="M462" s="2"/>
      <c r="N462" s="133" t="s">
        <v>5</v>
      </c>
      <c r="O462" s="158">
        <f t="shared" ref="O462:U462" si="1324">+O301/O140</f>
        <v>2.893499026325804</v>
      </c>
      <c r="P462" s="158">
        <f t="shared" si="1324"/>
        <v>3.0753080976029694</v>
      </c>
      <c r="Q462" s="158">
        <f t="shared" si="1324"/>
        <v>3.3430769758143684</v>
      </c>
      <c r="R462" s="158">
        <f t="shared" si="1324"/>
        <v>2.9097891352210956</v>
      </c>
      <c r="S462" s="158">
        <f t="shared" si="1324"/>
        <v>2.2714783895170667</v>
      </c>
      <c r="T462" s="158">
        <f t="shared" si="1324"/>
        <v>2.7620613954581166</v>
      </c>
      <c r="U462" s="158">
        <f t="shared" si="1324"/>
        <v>2.9829167481712422</v>
      </c>
      <c r="V462" s="158">
        <f t="shared" si="1299"/>
        <v>3.8416252683763075</v>
      </c>
      <c r="W462" s="180">
        <f t="shared" si="1315"/>
        <v>4.4197249194437829</v>
      </c>
      <c r="X462" s="181"/>
      <c r="Y462" s="147"/>
      <c r="Z462" s="127"/>
    </row>
    <row r="463" spans="1:26" x14ac:dyDescent="0.25">
      <c r="A463" s="133" t="s">
        <v>6</v>
      </c>
      <c r="B463" s="158">
        <f t="shared" ref="B463:F463" si="1325">+B302/B141</f>
        <v>2.9692543666193614</v>
      </c>
      <c r="C463" s="158">
        <f t="shared" si="1325"/>
        <v>3.6257950381197088</v>
      </c>
      <c r="D463" s="158">
        <f t="shared" si="1325"/>
        <v>3.3444658531363731</v>
      </c>
      <c r="E463" s="158">
        <f t="shared" si="1325"/>
        <v>3.120990734141126</v>
      </c>
      <c r="F463" s="158">
        <f t="shared" si="1325"/>
        <v>2.3843796764768759</v>
      </c>
      <c r="G463" s="158">
        <f t="shared" si="1316"/>
        <v>2.9890718344747191</v>
      </c>
      <c r="H463" s="158">
        <f t="shared" ref="H463" si="1326">+H302/H141</f>
        <v>3.1185228619662229</v>
      </c>
      <c r="I463" s="158">
        <f t="shared" si="1304"/>
        <v>4.1401114066342153</v>
      </c>
      <c r="J463" s="180">
        <f t="shared" si="1317"/>
        <v>4.15633758953597</v>
      </c>
      <c r="K463" s="181"/>
      <c r="L463" s="127"/>
      <c r="M463" s="2"/>
      <c r="N463" s="133" t="s">
        <v>6</v>
      </c>
      <c r="O463" s="158">
        <f t="shared" ref="O463:U463" si="1327">+O302/O141</f>
        <v>2.8880734594976669</v>
      </c>
      <c r="P463" s="158">
        <f t="shared" si="1327"/>
        <v>3.1233493438467335</v>
      </c>
      <c r="Q463" s="158">
        <f t="shared" si="1327"/>
        <v>3.3222363318117858</v>
      </c>
      <c r="R463" s="158">
        <f t="shared" si="1327"/>
        <v>2.895243369374116</v>
      </c>
      <c r="S463" s="158">
        <f t="shared" si="1327"/>
        <v>2.2400093197259472</v>
      </c>
      <c r="T463" s="158">
        <f t="shared" si="1327"/>
        <v>2.8211659801453548</v>
      </c>
      <c r="U463" s="158">
        <f t="shared" si="1327"/>
        <v>2.9941686417282929</v>
      </c>
      <c r="V463" s="158">
        <f t="shared" si="1299"/>
        <v>3.9695414989515765</v>
      </c>
      <c r="W463" s="180">
        <f t="shared" si="1315"/>
        <v>4.4271420051686432</v>
      </c>
      <c r="X463" s="181"/>
      <c r="Y463" s="147"/>
      <c r="Z463" s="127"/>
    </row>
    <row r="464" spans="1:26" x14ac:dyDescent="0.25">
      <c r="A464" s="133" t="s">
        <v>7</v>
      </c>
      <c r="B464" s="158">
        <f t="shared" ref="B464:F464" si="1328">+B303/B142</f>
        <v>2.858812497965372</v>
      </c>
      <c r="C464" s="158">
        <f t="shared" si="1328"/>
        <v>3.4265659895777945</v>
      </c>
      <c r="D464" s="158">
        <f t="shared" si="1328"/>
        <v>2.9448928387896376</v>
      </c>
      <c r="E464" s="158">
        <f t="shared" si="1328"/>
        <v>2.2691412966521693</v>
      </c>
      <c r="F464" s="158">
        <f t="shared" si="1328"/>
        <v>2.6426048961513136</v>
      </c>
      <c r="G464" s="158">
        <f t="shared" si="1316"/>
        <v>2.6836771128017802</v>
      </c>
      <c r="H464" s="158">
        <f t="shared" ref="H464:H466" si="1329">+H303/H142</f>
        <v>3.3793438519784527</v>
      </c>
      <c r="I464" s="158">
        <f t="shared" si="1304"/>
        <v>4.1249634182031016</v>
      </c>
      <c r="J464" s="180">
        <f t="shared" si="1317"/>
        <v>3.5787526427061311</v>
      </c>
      <c r="K464" s="181"/>
      <c r="L464" s="127"/>
      <c r="M464" s="2"/>
      <c r="N464" s="133" t="s">
        <v>7</v>
      </c>
      <c r="O464" s="158">
        <f t="shared" ref="O464:U464" si="1330">+O303/O142</f>
        <v>2.8633721699307473</v>
      </c>
      <c r="P464" s="158">
        <f t="shared" si="1330"/>
        <v>3.1750742709145139</v>
      </c>
      <c r="Q464" s="158">
        <f t="shared" si="1330"/>
        <v>3.2748272015096251</v>
      </c>
      <c r="R464" s="158">
        <f t="shared" si="1330"/>
        <v>2.8254763471289692</v>
      </c>
      <c r="S464" s="158">
        <f t="shared" si="1330"/>
        <v>2.2674153047469447</v>
      </c>
      <c r="T464" s="158">
        <f t="shared" si="1330"/>
        <v>2.8235448529994449</v>
      </c>
      <c r="U464" s="158">
        <f t="shared" si="1330"/>
        <v>3.0549304976326921</v>
      </c>
      <c r="V464" s="158">
        <f t="shared" si="1299"/>
        <v>4.0492166104220955</v>
      </c>
      <c r="W464" s="180">
        <f t="shared" si="1315"/>
        <v>4.3631670458936167</v>
      </c>
      <c r="X464" s="181"/>
      <c r="Y464" s="147"/>
      <c r="Z464" s="127"/>
    </row>
    <row r="465" spans="1:26" x14ac:dyDescent="0.25">
      <c r="A465" s="133" t="s">
        <v>8</v>
      </c>
      <c r="B465" s="158">
        <f t="shared" ref="B465:F465" si="1331">+B304/B143</f>
        <v>3.3068598000082301</v>
      </c>
      <c r="C465" s="158">
        <f t="shared" si="1331"/>
        <v>3.432883880056349</v>
      </c>
      <c r="D465" s="158">
        <f t="shared" si="1331"/>
        <v>2.9429308669280516</v>
      </c>
      <c r="E465" s="158">
        <f t="shared" si="1331"/>
        <v>2.7843472848918625</v>
      </c>
      <c r="F465" s="158">
        <f t="shared" si="1331"/>
        <v>2.9610572687224668</v>
      </c>
      <c r="G465" s="158">
        <f t="shared" si="1316"/>
        <v>3.1417558591733488</v>
      </c>
      <c r="H465" s="158">
        <f t="shared" si="1329"/>
        <v>3.0139230139230144</v>
      </c>
      <c r="I465" s="158">
        <f t="shared" si="1304"/>
        <v>3.7491095597663486</v>
      </c>
      <c r="J465" s="180">
        <f t="shared" si="1317"/>
        <v>4.0598177736696162</v>
      </c>
      <c r="K465" s="181"/>
      <c r="L465" s="127"/>
      <c r="M465" s="2"/>
      <c r="N465" s="133" t="s">
        <v>8</v>
      </c>
      <c r="O465" s="158">
        <f t="shared" ref="O465:U465" si="1332">+O304/O143</f>
        <v>2.9045796775191932</v>
      </c>
      <c r="P465" s="158">
        <f t="shared" si="1332"/>
        <v>3.1844428453586531</v>
      </c>
      <c r="Q465" s="158">
        <f t="shared" si="1332"/>
        <v>3.2329625425652666</v>
      </c>
      <c r="R465" s="158">
        <f t="shared" si="1332"/>
        <v>2.8132880957469539</v>
      </c>
      <c r="S465" s="158">
        <f t="shared" si="1332"/>
        <v>2.2815749022109406</v>
      </c>
      <c r="T465" s="158">
        <f t="shared" si="1332"/>
        <v>2.8367573982051471</v>
      </c>
      <c r="U465" s="158">
        <f t="shared" si="1332"/>
        <v>3.0448655482109723</v>
      </c>
      <c r="V465" s="158">
        <f t="shared" si="1299"/>
        <v>4.1339195363978662</v>
      </c>
      <c r="W465" s="180">
        <f t="shared" si="1315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333">+B305/B144</f>
        <v>2.9940139136062127</v>
      </c>
      <c r="C466" s="158">
        <f t="shared" si="1333"/>
        <v>3.3344814389590507</v>
      </c>
      <c r="D466" s="158">
        <f t="shared" si="1333"/>
        <v>3.1109287472794089</v>
      </c>
      <c r="E466" s="158">
        <f t="shared" si="1333"/>
        <v>2.4677681214783687</v>
      </c>
      <c r="F466" s="158">
        <f t="shared" si="1333"/>
        <v>2.5383251966790015</v>
      </c>
      <c r="G466" s="158">
        <f t="shared" si="1316"/>
        <v>2.3936698927543811</v>
      </c>
      <c r="H466" s="158">
        <f t="shared" si="1329"/>
        <v>4.0709363343238287</v>
      </c>
      <c r="I466" s="158">
        <f t="shared" si="1304"/>
        <v>4.0851189161328323</v>
      </c>
      <c r="J466" s="180">
        <f t="shared" si="1317"/>
        <v>3.8150466372115854</v>
      </c>
      <c r="K466" s="181"/>
      <c r="L466" s="127"/>
      <c r="M466" s="2"/>
      <c r="N466" s="133" t="s">
        <v>9</v>
      </c>
      <c r="O466" s="158">
        <f t="shared" ref="O466:U466" si="1334">+O305/O144</f>
        <v>2.9157217619954579</v>
      </c>
      <c r="P466" s="158">
        <f t="shared" si="1334"/>
        <v>3.213532411513941</v>
      </c>
      <c r="Q466" s="158">
        <f t="shared" si="1334"/>
        <v>3.2146855588192809</v>
      </c>
      <c r="R466" s="158">
        <f t="shared" si="1334"/>
        <v>2.7624660450191416</v>
      </c>
      <c r="S466" s="158">
        <f t="shared" si="1334"/>
        <v>2.286899528556392</v>
      </c>
      <c r="T466" s="158">
        <f t="shared" si="1334"/>
        <v>2.8188746617433216</v>
      </c>
      <c r="U466" s="158">
        <f t="shared" si="1334"/>
        <v>3.1763306569422296</v>
      </c>
      <c r="V466" s="158">
        <f t="shared" si="1299"/>
        <v>4.1355724426466791</v>
      </c>
      <c r="W466" s="180">
        <f t="shared" si="1315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335">+B306/B145</f>
        <v>2.9157217619954587</v>
      </c>
      <c r="C467" s="182">
        <f t="shared" si="1335"/>
        <v>3.213532411513941</v>
      </c>
      <c r="D467" s="182">
        <f t="shared" si="1335"/>
        <v>3.2146855588192809</v>
      </c>
      <c r="E467" s="182">
        <f t="shared" si="1335"/>
        <v>2.7624660450191416</v>
      </c>
      <c r="F467" s="182">
        <f t="shared" si="1335"/>
        <v>2.286899528556392</v>
      </c>
      <c r="G467" s="182">
        <f t="shared" si="1316"/>
        <v>2.8188746617433216</v>
      </c>
      <c r="H467" s="182">
        <f t="shared" ref="H467" si="1336">+H306/H145</f>
        <v>3.1763306569422296</v>
      </c>
      <c r="I467" s="182">
        <f t="shared" ref="I467:J467" si="1337">+I306/I145</f>
        <v>4.1355724426466791</v>
      </c>
      <c r="J467" s="183">
        <f t="shared" si="1337"/>
        <v>4.3572228620107589</v>
      </c>
      <c r="K467" s="183"/>
      <c r="L467" s="137"/>
      <c r="M467" s="3"/>
      <c r="N467" s="134" t="s">
        <v>14</v>
      </c>
      <c r="O467" s="182">
        <f t="shared" ref="O467:W467" si="1338">+O306/O145</f>
        <v>2.8980664140010464</v>
      </c>
      <c r="P467" s="182">
        <f t="shared" si="1338"/>
        <v>3.0431763379360488</v>
      </c>
      <c r="Q467" s="182">
        <f t="shared" si="1338"/>
        <v>3.286473611396262</v>
      </c>
      <c r="R467" s="182">
        <f t="shared" si="1338"/>
        <v>2.9511116555007124</v>
      </c>
      <c r="S467" s="182">
        <f t="shared" si="1338"/>
        <v>2.4137910032774719</v>
      </c>
      <c r="T467" s="182">
        <f t="shared" si="1338"/>
        <v>2.6130182815712519</v>
      </c>
      <c r="U467" s="182">
        <f t="shared" si="1338"/>
        <v>2.9289451921592162</v>
      </c>
      <c r="V467" s="182">
        <f t="shared" si="1338"/>
        <v>3.7038681887939613</v>
      </c>
      <c r="W467" s="183">
        <f t="shared" si="1338"/>
        <v>4.3117142769473507</v>
      </c>
      <c r="X467" s="183">
        <f t="shared" ref="X467" si="1339">+X306/X145</f>
        <v>4.3637223381422068</v>
      </c>
      <c r="Y467" s="149">
        <f>+X467/W467-1</f>
        <v>1.2062037939971626E-2</v>
      </c>
      <c r="Z467" s="156">
        <f>+POWER(X467/S467,0.2)-1</f>
        <v>0.12572286917034692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340">+C467/C$485</f>
        <v>0.85192929753741675</v>
      </c>
      <c r="D468" s="138">
        <f t="shared" ref="D468" si="1341">+D467/D$485</f>
        <v>0.8450017035287043</v>
      </c>
      <c r="E468" s="138">
        <f t="shared" ref="E468" si="1342">+E467/E$485</f>
        <v>0.81237191807591669</v>
      </c>
      <c r="F468" s="138">
        <f t="shared" ref="F468:G468" si="1343">+F467/F$485</f>
        <v>0.83171434782729992</v>
      </c>
      <c r="G468" s="138">
        <f t="shared" si="1343"/>
        <v>0.92157576808931807</v>
      </c>
      <c r="H468" s="138">
        <f t="shared" ref="H468" si="1344">+H467/H$485</f>
        <v>0.97778591674099435</v>
      </c>
      <c r="I468" s="138">
        <f t="shared" ref="I468:J468" si="1345">+I467/I$485</f>
        <v>1.1700097131550526</v>
      </c>
      <c r="J468" s="139">
        <f t="shared" si="1345"/>
        <v>1.2272004707366497</v>
      </c>
      <c r="K468" s="139"/>
      <c r="L468" s="140"/>
      <c r="M468" s="3"/>
      <c r="N468" s="135" t="s">
        <v>15</v>
      </c>
      <c r="O468" s="138">
        <f t="shared" ref="O468" si="1346">+O467/O$485</f>
        <v>0.85006823716055957</v>
      </c>
      <c r="P468" s="138">
        <f t="shared" ref="P468" si="1347">+P467/P$485</f>
        <v>0.84162476690794186</v>
      </c>
      <c r="Q468" s="138">
        <f t="shared" ref="Q468" si="1348">+Q467/Q$485</f>
        <v>0.85161353934255302</v>
      </c>
      <c r="R468" s="138">
        <f t="shared" ref="R468" si="1349">+R467/R$485</f>
        <v>0.82205765552063415</v>
      </c>
      <c r="S468" s="138">
        <f t="shared" ref="S468:W468" si="1350">+S467/S$485</f>
        <v>0.80407540162032509</v>
      </c>
      <c r="T468" s="138">
        <f t="shared" si="1350"/>
        <v>0.90180013519387847</v>
      </c>
      <c r="U468" s="138">
        <f t="shared" si="1350"/>
        <v>0.93084415447546931</v>
      </c>
      <c r="V468" s="138">
        <f t="shared" si="1350"/>
        <v>1.0878914501200265</v>
      </c>
      <c r="W468" s="139">
        <f t="shared" si="1350"/>
        <v>1.2164841061271179</v>
      </c>
      <c r="X468" s="139">
        <f t="shared" ref="X468" si="1351">+X467/X$485</f>
        <v>1.2231568056106881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352">+D467/C467-1</f>
        <v>3.5884103773420328E-4</v>
      </c>
      <c r="E469" s="142">
        <f t="shared" ref="E469" si="1353">+E467/D467-1</f>
        <v>-0.14067301623311323</v>
      </c>
      <c r="F469" s="142">
        <f t="shared" ref="F469:J469" si="1354">+F467/E467-1</f>
        <v>-0.17215289118945687</v>
      </c>
      <c r="G469" s="142">
        <f t="shared" si="1354"/>
        <v>0.23261849790259026</v>
      </c>
      <c r="H469" s="142">
        <f t="shared" si="1354"/>
        <v>0.1268080486337908</v>
      </c>
      <c r="I469" s="142">
        <f t="shared" si="1354"/>
        <v>0.3019968288276027</v>
      </c>
      <c r="J469" s="143">
        <f t="shared" si="1354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355">+Q467/P467-1</f>
        <v>7.994846385576948E-2</v>
      </c>
      <c r="R469" s="142">
        <f t="shared" ref="R469" si="1356">+R467/Q467-1</f>
        <v>-0.10204310015837026</v>
      </c>
      <c r="S469" s="142">
        <f t="shared" ref="S469" si="1357">+S467/R467-1</f>
        <v>-0.18207398260303165</v>
      </c>
      <c r="T469" s="142">
        <f t="shared" ref="T469" si="1358">+T467/S467-1</f>
        <v>8.2537087106243634E-2</v>
      </c>
      <c r="U469" s="142">
        <f t="shared" ref="U469" si="1359">+U467/T467-1</f>
        <v>0.1209049752219844</v>
      </c>
      <c r="V469" s="142">
        <f t="shared" ref="V469" si="1360">+V467/U467-1</f>
        <v>0.26457408582079767</v>
      </c>
      <c r="W469" s="143">
        <f t="shared" ref="W469:X469" si="1361">+W467/V467-1</f>
        <v>0.16411115546509603</v>
      </c>
      <c r="X469" s="143">
        <f t="shared" si="1361"/>
        <v>1.2062037939971626E-2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50" t="s">
        <v>98</v>
      </c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2"/>
      <c r="M471" s="2"/>
      <c r="N471" s="350" t="s">
        <v>99</v>
      </c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352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362">+C472+1</f>
        <v>2018</v>
      </c>
      <c r="E472" s="129">
        <f t="shared" ref="E472" si="1363">+D472+1</f>
        <v>2019</v>
      </c>
      <c r="F472" s="129">
        <f t="shared" ref="F472" si="1364">+E472+1</f>
        <v>2020</v>
      </c>
      <c r="G472" s="129">
        <f t="shared" ref="G472" si="1365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366">+P472+1</f>
        <v>2018</v>
      </c>
      <c r="R472" s="129">
        <f t="shared" ref="R472" si="1367">+Q472+1</f>
        <v>2019</v>
      </c>
      <c r="S472" s="129">
        <f t="shared" ref="S472" si="1368">+R472+1</f>
        <v>2020</v>
      </c>
      <c r="T472" s="129">
        <f t="shared" ref="T472" si="1369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370">+C312/C151</f>
        <v>3.2503121134211623</v>
      </c>
      <c r="D473" s="158">
        <f t="shared" si="1370"/>
        <v>3.8530159565141151</v>
      </c>
      <c r="E473" s="158">
        <f t="shared" si="1370"/>
        <v>3.3188884100154095</v>
      </c>
      <c r="F473" s="158">
        <f t="shared" si="1370"/>
        <v>2.7543138619263829</v>
      </c>
      <c r="G473" s="158">
        <f t="shared" si="1370"/>
        <v>2.8243302477889798</v>
      </c>
      <c r="H473" s="158">
        <f t="shared" si="1370"/>
        <v>2.9100175659961898</v>
      </c>
      <c r="I473" s="158">
        <f t="shared" ref="I473:J473" si="1371">+I312/I151</f>
        <v>3.4207961296289708</v>
      </c>
      <c r="J473" s="180">
        <f t="shared" si="1371"/>
        <v>3.2663886301980001</v>
      </c>
      <c r="K473" s="181">
        <f t="shared" ref="K473" si="1372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373">+P312/P151</f>
        <v>3.4788410469416493</v>
      </c>
      <c r="Q473" s="158">
        <f t="shared" si="1373"/>
        <v>3.8254850457777003</v>
      </c>
      <c r="R473" s="158">
        <f t="shared" si="1373"/>
        <v>3.7592523812133285</v>
      </c>
      <c r="S473" s="158">
        <f t="shared" si="1373"/>
        <v>3.3470233969728773</v>
      </c>
      <c r="T473" s="158">
        <f t="shared" si="1373"/>
        <v>2.754855147085522</v>
      </c>
      <c r="U473" s="158">
        <f t="shared" si="1373"/>
        <v>3.0668512922974895</v>
      </c>
      <c r="V473" s="158">
        <f t="shared" si="1373"/>
        <v>3.282957449725258</v>
      </c>
      <c r="W473" s="180">
        <f t="shared" si="1373"/>
        <v>3.5250596484980221</v>
      </c>
      <c r="X473" s="181">
        <f t="shared" ref="X473" si="1374">+X312/X151</f>
        <v>3.5616943886469157</v>
      </c>
      <c r="Y473" s="147">
        <f t="shared" ref="Y473:Y475" si="1375">+X473/W473-1</f>
        <v>1.0392658224805729E-2</v>
      </c>
      <c r="Z473" s="127">
        <f t="shared" ref="Z473:Z475" si="1376">+POWER(X473/S473,0.2)-1</f>
        <v>1.25106051573729E-2</v>
      </c>
    </row>
    <row r="474" spans="1:26" x14ac:dyDescent="0.25">
      <c r="A474" s="133" t="s">
        <v>11</v>
      </c>
      <c r="B474" s="158">
        <f t="shared" ref="B474:G474" si="1377">+B313/B152</f>
        <v>3.2250881003350749</v>
      </c>
      <c r="C474" s="158">
        <f t="shared" si="1377"/>
        <v>3.6124982402093528</v>
      </c>
      <c r="D474" s="158">
        <f t="shared" si="1377"/>
        <v>3.8384550847520544</v>
      </c>
      <c r="E474" s="158">
        <f t="shared" si="1377"/>
        <v>3.4574206728904295</v>
      </c>
      <c r="F474" s="158">
        <f t="shared" si="1377"/>
        <v>2.8110514556307731</v>
      </c>
      <c r="G474" s="158">
        <f t="shared" si="1377"/>
        <v>2.9187492442258858</v>
      </c>
      <c r="H474" s="158">
        <f t="shared" si="1370"/>
        <v>3.1860995361270543</v>
      </c>
      <c r="I474" s="158">
        <f t="shared" ref="I474:J484" si="1378">+I313/I152</f>
        <v>3.3264406382895713</v>
      </c>
      <c r="J474" s="180">
        <f t="shared" si="1378"/>
        <v>3.4608945774422817</v>
      </c>
      <c r="K474" s="181">
        <f t="shared" ref="K474:K475" si="1379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380">+O313/O152</f>
        <v>3.3414272313098046</v>
      </c>
      <c r="P474" s="158">
        <f t="shared" si="1380"/>
        <v>3.5063194909069586</v>
      </c>
      <c r="Q474" s="158">
        <f t="shared" si="1380"/>
        <v>3.8396819235109163</v>
      </c>
      <c r="R474" s="158">
        <f t="shared" si="1380"/>
        <v>3.7304434877259922</v>
      </c>
      <c r="S474" s="158">
        <f t="shared" si="1380"/>
        <v>3.2949747434914509</v>
      </c>
      <c r="T474" s="158">
        <f t="shared" si="1380"/>
        <v>2.7634525966345689</v>
      </c>
      <c r="U474" s="158">
        <f t="shared" si="1380"/>
        <v>3.0866260337724283</v>
      </c>
      <c r="V474" s="158">
        <f t="shared" si="1380"/>
        <v>3.2937531756590555</v>
      </c>
      <c r="W474" s="180">
        <f t="shared" si="1380"/>
        <v>3.5345736326655621</v>
      </c>
      <c r="X474" s="181">
        <f t="shared" ref="X474:X475" si="1381">+X313/X152</f>
        <v>3.569627054799263</v>
      </c>
      <c r="Y474" s="147">
        <f t="shared" si="1375"/>
        <v>9.9172985985485074E-3</v>
      </c>
      <c r="Z474" s="127">
        <f t="shared" si="1376"/>
        <v>1.6141411698469055E-2</v>
      </c>
    </row>
    <row r="475" spans="1:26" x14ac:dyDescent="0.25">
      <c r="A475" s="133" t="s">
        <v>0</v>
      </c>
      <c r="B475" s="158">
        <f t="shared" ref="B475:G475" si="1382">+B314/B153</f>
        <v>3.3418130564100341</v>
      </c>
      <c r="C475" s="158">
        <f t="shared" si="1382"/>
        <v>3.8710098610990213</v>
      </c>
      <c r="D475" s="158">
        <f t="shared" si="1382"/>
        <v>3.9976500242874589</v>
      </c>
      <c r="E475" s="158">
        <f t="shared" si="1382"/>
        <v>3.5008802654905256</v>
      </c>
      <c r="F475" s="158">
        <f t="shared" si="1382"/>
        <v>3.1034724863236112</v>
      </c>
      <c r="G475" s="158">
        <f t="shared" si="1382"/>
        <v>2.9276743361636761</v>
      </c>
      <c r="H475" s="158">
        <f t="shared" si="1370"/>
        <v>3.1202328615133212</v>
      </c>
      <c r="I475" s="158">
        <f t="shared" si="1378"/>
        <v>3.434441101359921</v>
      </c>
      <c r="J475" s="180">
        <f t="shared" si="1378"/>
        <v>3.5859369229632909</v>
      </c>
      <c r="K475" s="181">
        <f t="shared" si="1379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383">+O314/O153</f>
        <v>3.3579147895088206</v>
      </c>
      <c r="P475" s="158">
        <f t="shared" si="1383"/>
        <v>3.5490770058991079</v>
      </c>
      <c r="Q475" s="158">
        <f t="shared" si="1383"/>
        <v>3.8495600261040628</v>
      </c>
      <c r="R475" s="158">
        <f t="shared" si="1383"/>
        <v>3.6914079869698391</v>
      </c>
      <c r="S475" s="158">
        <f t="shared" si="1383"/>
        <v>3.2646843817390989</v>
      </c>
      <c r="T475" s="158">
        <f t="shared" si="1383"/>
        <v>2.7562705419464359</v>
      </c>
      <c r="U475" s="158">
        <f t="shared" si="1383"/>
        <v>3.1037950290491501</v>
      </c>
      <c r="V475" s="158">
        <f t="shared" si="1380"/>
        <v>3.3221374073708496</v>
      </c>
      <c r="W475" s="180">
        <f t="shared" si="1380"/>
        <v>3.5486178660943586</v>
      </c>
      <c r="X475" s="181">
        <f t="shared" si="1381"/>
        <v>3.5714665679601212</v>
      </c>
      <c r="Y475" s="147">
        <f t="shared" si="1375"/>
        <v>6.4387608719644884E-3</v>
      </c>
      <c r="Z475" s="127">
        <f t="shared" si="1376"/>
        <v>1.81249433949775E-2</v>
      </c>
    </row>
    <row r="476" spans="1:26" x14ac:dyDescent="0.25">
      <c r="A476" s="133" t="s">
        <v>1</v>
      </c>
      <c r="B476" s="158">
        <f t="shared" ref="B476:H476" si="1384">+B315/B154</f>
        <v>3.5894914710447834</v>
      </c>
      <c r="C476" s="158">
        <f t="shared" si="1384"/>
        <v>3.792632301506881</v>
      </c>
      <c r="D476" s="158">
        <f t="shared" si="1384"/>
        <v>3.8669309874860613</v>
      </c>
      <c r="E476" s="158">
        <f t="shared" si="1384"/>
        <v>3.5235979203160945</v>
      </c>
      <c r="F476" s="158">
        <f t="shared" si="1384"/>
        <v>2.8748514908174805</v>
      </c>
      <c r="G476" s="158">
        <f t="shared" si="1384"/>
        <v>3.0414281681929021</v>
      </c>
      <c r="H476" s="158">
        <f t="shared" si="1384"/>
        <v>2.9695736487040123</v>
      </c>
      <c r="I476" s="158">
        <f t="shared" si="1378"/>
        <v>3.4303467714383329</v>
      </c>
      <c r="J476" s="180">
        <f t="shared" si="1378"/>
        <v>3.4000268486146701</v>
      </c>
      <c r="K476" s="181"/>
      <c r="L476" s="127"/>
      <c r="M476" s="2"/>
      <c r="N476" s="133" t="s">
        <v>1</v>
      </c>
      <c r="O476" s="158">
        <f t="shared" ref="O476:U476" si="1385">+O315/O154</f>
        <v>3.3962471088372461</v>
      </c>
      <c r="P476" s="158">
        <f t="shared" si="1385"/>
        <v>3.5633743732326999</v>
      </c>
      <c r="Q476" s="158">
        <f t="shared" si="1385"/>
        <v>3.8554145273528104</v>
      </c>
      <c r="R476" s="158">
        <f t="shared" si="1385"/>
        <v>3.664141906803879</v>
      </c>
      <c r="S476" s="158">
        <f t="shared" si="1385"/>
        <v>3.2070325487853335</v>
      </c>
      <c r="T476" s="158">
        <f t="shared" si="1385"/>
        <v>2.7699915560300137</v>
      </c>
      <c r="U476" s="158">
        <f t="shared" si="1385"/>
        <v>3.097682900566789</v>
      </c>
      <c r="V476" s="158">
        <f t="shared" si="1380"/>
        <v>3.3660674577097307</v>
      </c>
      <c r="W476" s="180">
        <f t="shared" si="1380"/>
        <v>3.5436493843366614</v>
      </c>
      <c r="X476" s="181"/>
      <c r="Y476" s="147"/>
      <c r="Z476" s="127"/>
    </row>
    <row r="477" spans="1:26" x14ac:dyDescent="0.25">
      <c r="A477" s="133" t="s">
        <v>2</v>
      </c>
      <c r="B477" s="158">
        <f t="shared" ref="B477:H477" si="1386">+B316/B155</f>
        <v>3.5796584646445302</v>
      </c>
      <c r="C477" s="158">
        <f t="shared" si="1386"/>
        <v>3.9548708688851875</v>
      </c>
      <c r="D477" s="158">
        <f t="shared" si="1386"/>
        <v>4.0441763561055941</v>
      </c>
      <c r="E477" s="158">
        <f t="shared" si="1386"/>
        <v>3.6497138537954865</v>
      </c>
      <c r="F477" s="158">
        <f t="shared" si="1386"/>
        <v>2.5480760483944325</v>
      </c>
      <c r="G477" s="158">
        <f t="shared" si="1386"/>
        <v>2.9982562179596441</v>
      </c>
      <c r="H477" s="158">
        <f t="shared" si="1386"/>
        <v>3.5795720755895677</v>
      </c>
      <c r="I477" s="158">
        <f t="shared" si="1378"/>
        <v>3.507641171564539</v>
      </c>
      <c r="J477" s="180">
        <f t="shared" ref="J477" si="1387">+J316/J155</f>
        <v>3.6395290149051576</v>
      </c>
      <c r="K477" s="181"/>
      <c r="L477" s="127"/>
      <c r="M477" s="2"/>
      <c r="N477" s="133" t="s">
        <v>2</v>
      </c>
      <c r="O477" s="158">
        <f t="shared" ref="O477:U477" si="1388">+O316/O155</f>
        <v>3.4222322713294311</v>
      </c>
      <c r="P477" s="158">
        <f t="shared" si="1388"/>
        <v>3.5919790726173324</v>
      </c>
      <c r="Q477" s="158">
        <f t="shared" si="1388"/>
        <v>3.8630222536794547</v>
      </c>
      <c r="R477" s="158">
        <f t="shared" si="1388"/>
        <v>3.633267162534997</v>
      </c>
      <c r="S477" s="158">
        <f t="shared" si="1388"/>
        <v>3.106391360010504</v>
      </c>
      <c r="T477" s="158">
        <f t="shared" si="1388"/>
        <v>2.8075599150902275</v>
      </c>
      <c r="U477" s="158">
        <f t="shared" si="1388"/>
        <v>3.1423403160278225</v>
      </c>
      <c r="V477" s="158">
        <f t="shared" si="1380"/>
        <v>3.3574493002219148</v>
      </c>
      <c r="W477" s="180">
        <f t="shared" ref="W477:W484" si="1389">+W316/W155</f>
        <v>3.5554254561328995</v>
      </c>
      <c r="X477" s="181"/>
      <c r="Y477" s="147"/>
      <c r="Z477" s="127"/>
    </row>
    <row r="478" spans="1:26" x14ac:dyDescent="0.25">
      <c r="A478" s="133" t="s">
        <v>3</v>
      </c>
      <c r="B478" s="158">
        <f t="shared" ref="B478:H484" si="1390">+B317/B156</f>
        <v>3.523461302543065</v>
      </c>
      <c r="C478" s="158">
        <f t="shared" si="1390"/>
        <v>3.6259470289900442</v>
      </c>
      <c r="D478" s="158">
        <f t="shared" si="1390"/>
        <v>3.9428594935927759</v>
      </c>
      <c r="E478" s="158">
        <f t="shared" si="1390"/>
        <v>3.6968343102293999</v>
      </c>
      <c r="F478" s="158">
        <f t="shared" si="1390"/>
        <v>2.5830047158790181</v>
      </c>
      <c r="G478" s="158">
        <f t="shared" si="1390"/>
        <v>3.2357016907849858</v>
      </c>
      <c r="H478" s="158">
        <f t="shared" si="1390"/>
        <v>3.3540680560978071</v>
      </c>
      <c r="I478" s="158">
        <f t="shared" si="1378"/>
        <v>4.0247733596625084</v>
      </c>
      <c r="J478" s="180">
        <f t="shared" ref="J478:J484" si="1391">+J317/J156</f>
        <v>3.980129013123749</v>
      </c>
      <c r="K478" s="181"/>
      <c r="L478" s="127"/>
      <c r="M478" s="2"/>
      <c r="N478" s="133" t="s">
        <v>3</v>
      </c>
      <c r="O478" s="158">
        <f t="shared" ref="O478:U478" si="1392">+O317/O156</f>
        <v>3.4269102670434433</v>
      </c>
      <c r="P478" s="158">
        <f t="shared" si="1392"/>
        <v>3.6001133656089803</v>
      </c>
      <c r="Q478" s="158">
        <f t="shared" si="1392"/>
        <v>3.8911955171411194</v>
      </c>
      <c r="R478" s="158">
        <f t="shared" si="1392"/>
        <v>3.6158675799086764</v>
      </c>
      <c r="S478" s="158">
        <f t="shared" si="1392"/>
        <v>3.0217376014898187</v>
      </c>
      <c r="T478" s="158">
        <f t="shared" si="1392"/>
        <v>2.861715078703202</v>
      </c>
      <c r="U478" s="158">
        <f t="shared" si="1392"/>
        <v>3.1526246617823892</v>
      </c>
      <c r="V478" s="158">
        <f t="shared" si="1380"/>
        <v>3.4027638946309868</v>
      </c>
      <c r="W478" s="180">
        <f t="shared" si="1389"/>
        <v>3.545738999443111</v>
      </c>
      <c r="X478" s="181"/>
      <c r="Y478" s="147"/>
      <c r="Z478" s="127"/>
    </row>
    <row r="479" spans="1:26" x14ac:dyDescent="0.25">
      <c r="A479" s="133" t="s">
        <v>4</v>
      </c>
      <c r="B479" s="158">
        <f t="shared" ref="B479:F479" si="1393">+B318/B157</f>
        <v>3.5341814829745917</v>
      </c>
      <c r="C479" s="158">
        <f t="shared" si="1393"/>
        <v>3.7790540871867799</v>
      </c>
      <c r="D479" s="158">
        <f t="shared" si="1393"/>
        <v>3.6712020713629938</v>
      </c>
      <c r="E479" s="158">
        <f t="shared" si="1393"/>
        <v>3.5201720298650838</v>
      </c>
      <c r="F479" s="158">
        <f t="shared" si="1393"/>
        <v>2.727207878415598</v>
      </c>
      <c r="G479" s="158">
        <f t="shared" si="1390"/>
        <v>3.2831927889883024</v>
      </c>
      <c r="H479" s="158">
        <f t="shared" ref="H479" si="1394">+H318/H157</f>
        <v>3.4548438492039724</v>
      </c>
      <c r="I479" s="158">
        <f t="shared" si="1378"/>
        <v>3.5650602164950547</v>
      </c>
      <c r="J479" s="180">
        <f t="shared" si="1391"/>
        <v>3.5927750737059809</v>
      </c>
      <c r="K479" s="181"/>
      <c r="L479" s="127"/>
      <c r="M479" s="2"/>
      <c r="N479" s="133" t="s">
        <v>4</v>
      </c>
      <c r="O479" s="158">
        <f t="shared" ref="O479:U479" si="1395">+O318/O157</f>
        <v>3.4184294088240574</v>
      </c>
      <c r="P479" s="158">
        <f t="shared" si="1395"/>
        <v>3.6191343929645554</v>
      </c>
      <c r="Q479" s="158">
        <f t="shared" si="1395"/>
        <v>3.8785250428113369</v>
      </c>
      <c r="R479" s="158">
        <f t="shared" si="1395"/>
        <v>3.6020791396179139</v>
      </c>
      <c r="S479" s="158">
        <f t="shared" si="1395"/>
        <v>2.9523343450476549</v>
      </c>
      <c r="T479" s="158">
        <f t="shared" si="1395"/>
        <v>2.9097354623450911</v>
      </c>
      <c r="U479" s="158">
        <f t="shared" si="1395"/>
        <v>3.1609713836944948</v>
      </c>
      <c r="V479" s="158">
        <f t="shared" si="1380"/>
        <v>3.4105331885136869</v>
      </c>
      <c r="W479" s="180">
        <f t="shared" si="1389"/>
        <v>3.5494080673010009</v>
      </c>
      <c r="X479" s="181"/>
      <c r="Y479" s="147"/>
      <c r="Z479" s="127"/>
    </row>
    <row r="480" spans="1:26" x14ac:dyDescent="0.25">
      <c r="A480" s="133" t="s">
        <v>5</v>
      </c>
      <c r="B480" s="158">
        <f t="shared" ref="B480:F480" si="1396">+B319/B158</f>
        <v>3.4757646077295803</v>
      </c>
      <c r="C480" s="158">
        <f t="shared" si="1396"/>
        <v>3.7402052238805967</v>
      </c>
      <c r="D480" s="158">
        <f t="shared" si="1396"/>
        <v>3.9436002779204302</v>
      </c>
      <c r="E480" s="158">
        <f t="shared" si="1396"/>
        <v>3.4358701683003519</v>
      </c>
      <c r="F480" s="158">
        <f t="shared" si="1396"/>
        <v>2.6084723485997374</v>
      </c>
      <c r="G480" s="158">
        <f t="shared" si="1390"/>
        <v>3.1618233012803492</v>
      </c>
      <c r="H480" s="158">
        <f t="shared" ref="H480" si="1397">+H319/H158</f>
        <v>3.4106671549341065</v>
      </c>
      <c r="I480" s="158">
        <f t="shared" si="1378"/>
        <v>3.7497476816395343</v>
      </c>
      <c r="J480" s="180">
        <f t="shared" si="1391"/>
        <v>3.5563368711595968</v>
      </c>
      <c r="K480" s="181"/>
      <c r="L480" s="127"/>
      <c r="M480" s="2"/>
      <c r="N480" s="133" t="s">
        <v>5</v>
      </c>
      <c r="O480" s="158">
        <f t="shared" ref="O480:U480" si="1398">+O319/O158</f>
        <v>3.4240655058827376</v>
      </c>
      <c r="P480" s="158">
        <f t="shared" si="1398"/>
        <v>3.6483881629848831</v>
      </c>
      <c r="Q480" s="158">
        <f t="shared" si="1398"/>
        <v>3.9008583839555735</v>
      </c>
      <c r="R480" s="158">
        <f t="shared" si="1398"/>
        <v>3.5518797923531302</v>
      </c>
      <c r="S480" s="158">
        <f t="shared" si="1398"/>
        <v>2.8739096572242331</v>
      </c>
      <c r="T480" s="158">
        <f t="shared" si="1398"/>
        <v>2.9590723265895686</v>
      </c>
      <c r="U480" s="158">
        <f t="shared" si="1398"/>
        <v>3.1831115529632501</v>
      </c>
      <c r="V480" s="158">
        <f t="shared" si="1380"/>
        <v>3.4404147138220322</v>
      </c>
      <c r="W480" s="180">
        <f t="shared" si="1389"/>
        <v>3.5315108605031886</v>
      </c>
      <c r="X480" s="181"/>
      <c r="Y480" s="147"/>
      <c r="Z480" s="127"/>
    </row>
    <row r="481" spans="1:26" x14ac:dyDescent="0.25">
      <c r="A481" s="133" t="s">
        <v>6</v>
      </c>
      <c r="B481" s="158">
        <f t="shared" ref="B481:F481" si="1399">+B320/B159</f>
        <v>3.69212537928883</v>
      </c>
      <c r="C481" s="158">
        <f t="shared" si="1399"/>
        <v>3.8999787845474354</v>
      </c>
      <c r="D481" s="158">
        <f t="shared" si="1399"/>
        <v>3.7714666739242846</v>
      </c>
      <c r="E481" s="158">
        <f t="shared" si="1399"/>
        <v>3.4379294695192497</v>
      </c>
      <c r="F481" s="158">
        <f t="shared" si="1399"/>
        <v>2.7785895044443794</v>
      </c>
      <c r="G481" s="158">
        <f t="shared" si="1390"/>
        <v>3.3878521157814898</v>
      </c>
      <c r="H481" s="158">
        <f t="shared" ref="H481" si="1400">+H320/H159</f>
        <v>3.1763084492401195</v>
      </c>
      <c r="I481" s="158">
        <f t="shared" si="1378"/>
        <v>3.6027188914133355</v>
      </c>
      <c r="J481" s="180">
        <f t="shared" si="1391"/>
        <v>3.8605297239986309</v>
      </c>
      <c r="K481" s="181"/>
      <c r="L481" s="127"/>
      <c r="M481" s="2"/>
      <c r="N481" s="133" t="s">
        <v>6</v>
      </c>
      <c r="O481" s="158">
        <f t="shared" ref="O481:U481" si="1401">+O320/O159</f>
        <v>3.4324093026670712</v>
      </c>
      <c r="P481" s="158">
        <f t="shared" si="1401"/>
        <v>3.6637293465753702</v>
      </c>
      <c r="Q481" s="158">
        <f t="shared" si="1401"/>
        <v>3.8909111600390078</v>
      </c>
      <c r="R481" s="158">
        <f t="shared" si="1401"/>
        <v>3.5277565247370144</v>
      </c>
      <c r="S481" s="158">
        <f t="shared" si="1401"/>
        <v>2.8295376370034466</v>
      </c>
      <c r="T481" s="158">
        <f t="shared" si="1401"/>
        <v>3.011873417549773</v>
      </c>
      <c r="U481" s="158">
        <f t="shared" si="1401"/>
        <v>3.1639804260209567</v>
      </c>
      <c r="V481" s="158">
        <f t="shared" si="1380"/>
        <v>3.4845848806929869</v>
      </c>
      <c r="W481" s="180">
        <f t="shared" si="1389"/>
        <v>3.55238279480964</v>
      </c>
      <c r="X481" s="181"/>
      <c r="Y481" s="147"/>
      <c r="Z481" s="127"/>
    </row>
    <row r="482" spans="1:26" x14ac:dyDescent="0.25">
      <c r="A482" s="133" t="s">
        <v>7</v>
      </c>
      <c r="B482" s="158">
        <f t="shared" ref="B482:F482" si="1402">+B321/B160</f>
        <v>3.4573090257408485</v>
      </c>
      <c r="C482" s="158">
        <f t="shared" si="1402"/>
        <v>3.9031209686795818</v>
      </c>
      <c r="D482" s="158">
        <f t="shared" si="1402"/>
        <v>3.6205722250674492</v>
      </c>
      <c r="E482" s="158">
        <f t="shared" si="1402"/>
        <v>3.1818701254178214</v>
      </c>
      <c r="F482" s="158">
        <f t="shared" si="1402"/>
        <v>2.6839070002927006</v>
      </c>
      <c r="G482" s="158">
        <f t="shared" si="1390"/>
        <v>3.0769300091470693</v>
      </c>
      <c r="H482" s="158">
        <f t="shared" ref="H482:H484" si="1403">+H321/H160</f>
        <v>3.3507738773585434</v>
      </c>
      <c r="I482" s="158">
        <f t="shared" si="1378"/>
        <v>3.5724699189415094</v>
      </c>
      <c r="J482" s="180">
        <f t="shared" si="1391"/>
        <v>3.5080555782400227</v>
      </c>
      <c r="K482" s="181"/>
      <c r="L482" s="127"/>
      <c r="M482" s="2"/>
      <c r="N482" s="133" t="s">
        <v>7</v>
      </c>
      <c r="O482" s="158">
        <f t="shared" ref="O482:U482" si="1404">+O321/O160</f>
        <v>3.4263727664937695</v>
      </c>
      <c r="P482" s="158">
        <f t="shared" si="1404"/>
        <v>3.7056319778554672</v>
      </c>
      <c r="Q482" s="158">
        <f t="shared" si="1404"/>
        <v>3.8629022742111845</v>
      </c>
      <c r="R482" s="158">
        <f t="shared" si="1404"/>
        <v>3.4847414281382489</v>
      </c>
      <c r="S482" s="158">
        <f t="shared" si="1404"/>
        <v>2.7859366190172854</v>
      </c>
      <c r="T482" s="158">
        <f t="shared" si="1404"/>
        <v>3.0489968666501679</v>
      </c>
      <c r="U482" s="158">
        <f t="shared" si="1404"/>
        <v>3.1853706787228728</v>
      </c>
      <c r="V482" s="158">
        <f t="shared" si="1380"/>
        <v>3.5049717167345245</v>
      </c>
      <c r="W482" s="180">
        <f t="shared" si="1389"/>
        <v>3.54650773307679</v>
      </c>
      <c r="X482" s="181"/>
      <c r="Y482" s="147"/>
      <c r="Z482" s="127"/>
    </row>
    <row r="483" spans="1:26" x14ac:dyDescent="0.25">
      <c r="A483" s="133" t="s">
        <v>8</v>
      </c>
      <c r="B483" s="158">
        <f t="shared" ref="B483:F483" si="1405">+B322/B161</f>
        <v>3.7229398549984687</v>
      </c>
      <c r="C483" s="158">
        <f t="shared" si="1405"/>
        <v>3.9135745411329723</v>
      </c>
      <c r="D483" s="158">
        <f t="shared" si="1405"/>
        <v>3.7501527930570839</v>
      </c>
      <c r="E483" s="158">
        <f t="shared" si="1405"/>
        <v>3.2570846825912656</v>
      </c>
      <c r="F483" s="158">
        <f t="shared" si="1405"/>
        <v>2.8228651427564819</v>
      </c>
      <c r="G483" s="158">
        <f t="shared" si="1390"/>
        <v>3.051982988317278</v>
      </c>
      <c r="H483" s="158">
        <f t="shared" si="1403"/>
        <v>3.0446688654035965</v>
      </c>
      <c r="I483" s="158">
        <f t="shared" si="1378"/>
        <v>3.3936800291493112</v>
      </c>
      <c r="J483" s="180">
        <f t="shared" si="1391"/>
        <v>3.440159309658148</v>
      </c>
      <c r="K483" s="181"/>
      <c r="L483" s="127"/>
      <c r="M483" s="2"/>
      <c r="N483" s="133" t="s">
        <v>8</v>
      </c>
      <c r="O483" s="158">
        <f t="shared" ref="O483:U483" si="1406">+O322/O161</f>
        <v>3.4534472340288134</v>
      </c>
      <c r="P483" s="158">
        <f t="shared" si="1406"/>
        <v>3.7200302742440314</v>
      </c>
      <c r="Q483" s="158">
        <f t="shared" si="1406"/>
        <v>3.8492893341497409</v>
      </c>
      <c r="R483" s="158">
        <f t="shared" si="1406"/>
        <v>3.4453582959502969</v>
      </c>
      <c r="S483" s="158">
        <f t="shared" si="1406"/>
        <v>2.7573123398674699</v>
      </c>
      <c r="T483" s="158">
        <f t="shared" si="1406"/>
        <v>3.0677327646400405</v>
      </c>
      <c r="U483" s="158">
        <f t="shared" si="1406"/>
        <v>3.1886584095671924</v>
      </c>
      <c r="V483" s="158">
        <f t="shared" si="1380"/>
        <v>3.5386525391391865</v>
      </c>
      <c r="W483" s="180">
        <f t="shared" si="1389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407">+B323/B162</f>
        <v>3.3809875418283508</v>
      </c>
      <c r="C484" s="158">
        <f t="shared" si="1407"/>
        <v>3.9661902871509858</v>
      </c>
      <c r="D484" s="158">
        <f t="shared" si="1407"/>
        <v>3.4420710607500205</v>
      </c>
      <c r="E484" s="158">
        <f t="shared" si="1407"/>
        <v>2.935253788342171</v>
      </c>
      <c r="F484" s="158">
        <f t="shared" si="1407"/>
        <v>2.8250248302015506</v>
      </c>
      <c r="G484" s="158">
        <f t="shared" si="1390"/>
        <v>2.7599908208536608</v>
      </c>
      <c r="H484" s="158">
        <f t="shared" si="1403"/>
        <v>3.4282478356294108</v>
      </c>
      <c r="I484" s="158">
        <f t="shared" si="1378"/>
        <v>3.3765072214124823</v>
      </c>
      <c r="J484" s="180">
        <f t="shared" si="1391"/>
        <v>3.3884634403859772</v>
      </c>
      <c r="K484" s="181"/>
      <c r="L484" s="127"/>
      <c r="M484" s="2"/>
      <c r="N484" s="133" t="s">
        <v>9</v>
      </c>
      <c r="O484" s="158">
        <f t="shared" ref="O484:U484" si="1408">+O323/O162</f>
        <v>3.4650372966189278</v>
      </c>
      <c r="P484" s="158">
        <f t="shared" si="1408"/>
        <v>3.7720646781405032</v>
      </c>
      <c r="Q484" s="158">
        <f t="shared" si="1408"/>
        <v>3.8043539384534264</v>
      </c>
      <c r="R484" s="158">
        <f t="shared" si="1408"/>
        <v>3.4004942607592539</v>
      </c>
      <c r="S484" s="158">
        <f t="shared" si="1408"/>
        <v>2.7496213508045093</v>
      </c>
      <c r="T484" s="158">
        <f t="shared" si="1408"/>
        <v>3.0587551879620598</v>
      </c>
      <c r="U484" s="158">
        <f t="shared" si="1408"/>
        <v>3.2484929497952746</v>
      </c>
      <c r="V484" s="158">
        <f t="shared" si="1380"/>
        <v>3.5346479573188145</v>
      </c>
      <c r="W484" s="180">
        <f t="shared" si="1389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409">+B324/B163</f>
        <v>3.4650372966189278</v>
      </c>
      <c r="C485" s="182">
        <f t="shared" si="1409"/>
        <v>3.7720646781405032</v>
      </c>
      <c r="D485" s="182">
        <f t="shared" si="1409"/>
        <v>3.8043539384534264</v>
      </c>
      <c r="E485" s="182">
        <f t="shared" si="1409"/>
        <v>3.4004942607592539</v>
      </c>
      <c r="F485" s="182">
        <f t="shared" si="1409"/>
        <v>2.7496213508045093</v>
      </c>
      <c r="G485" s="182">
        <f t="shared" ref="G485:H485" si="1410">+G324/G163</f>
        <v>3.0587551879620598</v>
      </c>
      <c r="H485" s="182">
        <f t="shared" si="1410"/>
        <v>3.2484929497952746</v>
      </c>
      <c r="I485" s="182">
        <f t="shared" ref="I485:J485" si="1411">+I324/I163</f>
        <v>3.5346479573188145</v>
      </c>
      <c r="J485" s="183">
        <f t="shared" si="1411"/>
        <v>3.5505387798582375</v>
      </c>
      <c r="K485" s="183"/>
      <c r="L485" s="137"/>
      <c r="M485" s="3"/>
      <c r="N485" s="134" t="s">
        <v>14</v>
      </c>
      <c r="O485" s="182">
        <f t="shared" ref="O485:W485" si="1412">+O324/O163</f>
        <v>3.40921621031426</v>
      </c>
      <c r="P485" s="182">
        <f t="shared" si="1412"/>
        <v>3.6158350580822627</v>
      </c>
      <c r="Q485" s="182">
        <f t="shared" si="1412"/>
        <v>3.8591138580692657</v>
      </c>
      <c r="R485" s="182">
        <f t="shared" si="1412"/>
        <v>3.5899083667454974</v>
      </c>
      <c r="S485" s="182">
        <f t="shared" si="1412"/>
        <v>3.0019460841773586</v>
      </c>
      <c r="T485" s="182">
        <f t="shared" si="1412"/>
        <v>2.8975580947428865</v>
      </c>
      <c r="U485" s="182">
        <f t="shared" si="1412"/>
        <v>3.1465473334896505</v>
      </c>
      <c r="V485" s="182">
        <f t="shared" si="1412"/>
        <v>3.4046302950402962</v>
      </c>
      <c r="W485" s="183">
        <f t="shared" si="1412"/>
        <v>3.5444065855282068</v>
      </c>
      <c r="X485" s="184">
        <f t="shared" ref="X485" si="1413">+X324/X163</f>
        <v>3.5675902861559288</v>
      </c>
      <c r="Y485" s="149">
        <f>+X485/W485-1</f>
        <v>6.5409258414035332E-3</v>
      </c>
      <c r="Z485" s="156">
        <f>+POWER(X485/S485,0.2)-1</f>
        <v>3.5128859588757555E-2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414">+D485/C485-1</f>
        <v>8.560102508327283E-3</v>
      </c>
      <c r="E486" s="142">
        <f t="shared" ref="E486" si="1415">+E485/D485-1</f>
        <v>-0.10615723043328418</v>
      </c>
      <c r="F486" s="142">
        <f t="shared" ref="F486:J486" si="1416">+F485/E485-1</f>
        <v>-0.19140538405420493</v>
      </c>
      <c r="G486" s="142">
        <f t="shared" si="1416"/>
        <v>0.1124277846719155</v>
      </c>
      <c r="H486" s="142">
        <f t="shared" si="1416"/>
        <v>6.2031038829109431E-2</v>
      </c>
      <c r="I486" s="142">
        <f t="shared" si="1416"/>
        <v>8.8088541962688893E-2</v>
      </c>
      <c r="J486" s="143">
        <f t="shared" si="1416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417">+Q485/P485-1</f>
        <v>6.7281498209719626E-2</v>
      </c>
      <c r="R486" s="142">
        <f t="shared" ref="R486" si="1418">+R485/Q485-1</f>
        <v>-6.9758369725440805E-2</v>
      </c>
      <c r="S486" s="142">
        <f t="shared" ref="S486" si="1419">+S485/R485-1</f>
        <v>-0.16378197505391134</v>
      </c>
      <c r="T486" s="142">
        <f t="shared" ref="T486:X486" si="1420">+T485/S485-1</f>
        <v>-3.4773439131595252E-2</v>
      </c>
      <c r="U486" s="142">
        <f t="shared" si="1420"/>
        <v>8.5930714969446598E-2</v>
      </c>
      <c r="V486" s="142">
        <f t="shared" si="1420"/>
        <v>8.2021000861417503E-2</v>
      </c>
      <c r="W486" s="143">
        <f t="shared" si="1420"/>
        <v>4.1054763182813092E-2</v>
      </c>
      <c r="X486" s="155">
        <f t="shared" si="1420"/>
        <v>6.5409258414035332E-3</v>
      </c>
      <c r="Y486" s="144"/>
      <c r="Z486" s="145"/>
    </row>
  </sheetData>
  <mergeCells count="57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345:L345"/>
    <mergeCell ref="N345:Z345"/>
    <mergeCell ref="A363:L363"/>
    <mergeCell ref="N363:Z363"/>
    <mergeCell ref="A381:L381"/>
    <mergeCell ref="N381:Z381"/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W170" sqref="W170:W171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193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101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102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103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>+X7/W7-1</f>
        <v>5.1948144143130204E-2</v>
      </c>
      <c r="Z7" s="7">
        <f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3">+SUM(C7:C8)+SUM(B9:B18)</f>
        <v>72.815278000000006</v>
      </c>
      <c r="Q8" s="6">
        <f t="shared" si="3"/>
        <v>59.797125999999999</v>
      </c>
      <c r="R8" s="6">
        <f t="shared" si="3"/>
        <v>66.262496999999996</v>
      </c>
      <c r="S8" s="6">
        <f t="shared" si="3"/>
        <v>60.317342999999994</v>
      </c>
      <c r="T8" s="6">
        <f t="shared" si="3"/>
        <v>61.502879999999998</v>
      </c>
      <c r="U8" s="6">
        <f t="shared" si="3"/>
        <v>69.695684</v>
      </c>
      <c r="V8" s="6">
        <f t="shared" si="3"/>
        <v>62.463194999999992</v>
      </c>
      <c r="W8" s="67">
        <f t="shared" si="3"/>
        <v>42.311014</v>
      </c>
      <c r="X8" s="67">
        <f t="shared" si="3"/>
        <v>45.507698999999995</v>
      </c>
      <c r="Y8" s="78">
        <f>+X8/W8-1</f>
        <v>7.555207729126967E-2</v>
      </c>
      <c r="Z8" s="7">
        <f>+POWER(X8/S8,0.2)-1</f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3.588409</v>
      </c>
      <c r="L9" s="7">
        <f t="shared" ref="L9" si="4">+K9/J9-1</f>
        <v>-0.17608243379734256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5">+SUM(C7:C9)+SUM(B10:B18)</f>
        <v>71.940237999999994</v>
      </c>
      <c r="Q9" s="6">
        <f t="shared" si="5"/>
        <v>59.125504000000006</v>
      </c>
      <c r="R9" s="6">
        <f t="shared" si="5"/>
        <v>66.591666000000004</v>
      </c>
      <c r="S9" s="6">
        <f t="shared" si="5"/>
        <v>59.808662999999996</v>
      </c>
      <c r="T9" s="6">
        <f t="shared" si="5"/>
        <v>62.33761100000001</v>
      </c>
      <c r="U9" s="6">
        <f t="shared" si="5"/>
        <v>70.182049000000006</v>
      </c>
      <c r="V9" s="6">
        <f t="shared" si="5"/>
        <v>60.267755999999991</v>
      </c>
      <c r="W9" s="67">
        <f t="shared" si="5"/>
        <v>42.883291</v>
      </c>
      <c r="X9" s="67">
        <f t="shared" si="5"/>
        <v>44.740807000000004</v>
      </c>
      <c r="Y9" s="78">
        <f>+X9/W9-1</f>
        <v>4.331561213433921E-2</v>
      </c>
      <c r="Z9" s="7">
        <f>+POWER(X9/S9,0.2)-1</f>
        <v>-5.6399974710111711E-2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/>
      <c r="L10" s="7"/>
      <c r="M10" s="2"/>
      <c r="N10" s="42" t="s">
        <v>1</v>
      </c>
      <c r="O10" s="6">
        <f>+SUM('[1]EXP TOTAL VINO PAIS'!Z163:Z174)/1000000</f>
        <v>79.742846</v>
      </c>
      <c r="P10" s="6">
        <f t="shared" ref="P10:W10" si="6">+SUM(C7:C10)+SUM(B11:B18)</f>
        <v>70.218997000000002</v>
      </c>
      <c r="Q10" s="6">
        <f t="shared" si="6"/>
        <v>58.906680000000009</v>
      </c>
      <c r="R10" s="6">
        <f t="shared" si="6"/>
        <v>67.188207000000006</v>
      </c>
      <c r="S10" s="6">
        <f t="shared" si="6"/>
        <v>60.166965000000005</v>
      </c>
      <c r="T10" s="6">
        <f t="shared" si="6"/>
        <v>61.621065000000002</v>
      </c>
      <c r="U10" s="6">
        <f t="shared" si="6"/>
        <v>73.623189999999994</v>
      </c>
      <c r="V10" s="6">
        <f t="shared" si="6"/>
        <v>55.629317999999998</v>
      </c>
      <c r="W10" s="67">
        <f t="shared" si="6"/>
        <v>43.011794000000002</v>
      </c>
      <c r="X10" s="37"/>
      <c r="Y10" s="78"/>
      <c r="Z10" s="7"/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/>
      <c r="L11" s="7"/>
      <c r="M11" s="2"/>
      <c r="N11" s="42" t="s">
        <v>2</v>
      </c>
      <c r="O11" s="6">
        <f>+SUM('[1]EXP TOTAL VINO PAIS'!Z164:Z175)/1000000</f>
        <v>78.861829</v>
      </c>
      <c r="P11" s="6">
        <f t="shared" ref="P11:W11" si="7">+SUM(C7:C11)+SUM(B12:B18)</f>
        <v>68.630748999999994</v>
      </c>
      <c r="Q11" s="6">
        <f t="shared" si="7"/>
        <v>59.335090000000001</v>
      </c>
      <c r="R11" s="6">
        <f t="shared" si="7"/>
        <v>67.406235000000009</v>
      </c>
      <c r="S11" s="6">
        <f t="shared" si="7"/>
        <v>61.076334000000003</v>
      </c>
      <c r="T11" s="6">
        <f t="shared" si="7"/>
        <v>62.418986000000004</v>
      </c>
      <c r="U11" s="6">
        <f t="shared" si="7"/>
        <v>75.231478999999993</v>
      </c>
      <c r="V11" s="6">
        <f t="shared" si="7"/>
        <v>50.764218000000007</v>
      </c>
      <c r="W11" s="67">
        <f t="shared" si="7"/>
        <v>43.146183000000008</v>
      </c>
      <c r="X11" s="37"/>
      <c r="Y11" s="78"/>
      <c r="Z11" s="7"/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/>
      <c r="L12" s="7"/>
      <c r="M12" s="2"/>
      <c r="N12" s="42" t="s">
        <v>3</v>
      </c>
      <c r="O12" s="6">
        <f>+SUM('[1]EXP TOTAL VINO PAIS'!Z165:Z176)/1000000</f>
        <v>75.887165999999993</v>
      </c>
      <c r="P12" s="6">
        <f t="shared" ref="P12:W12" si="8">+SUM(C7:C12)+SUM(B13:B18)</f>
        <v>69.696616000000006</v>
      </c>
      <c r="Q12" s="6">
        <f t="shared" si="8"/>
        <v>58.197217999999999</v>
      </c>
      <c r="R12" s="6">
        <f t="shared" si="8"/>
        <v>67.211247999999998</v>
      </c>
      <c r="S12" s="6">
        <f t="shared" si="8"/>
        <v>59.871757000000002</v>
      </c>
      <c r="T12" s="6">
        <f t="shared" si="8"/>
        <v>67.039587999999995</v>
      </c>
      <c r="U12" s="6">
        <f t="shared" si="8"/>
        <v>73.418959999999998</v>
      </c>
      <c r="V12" s="6">
        <f t="shared" si="8"/>
        <v>47.480727000000002</v>
      </c>
      <c r="W12" s="67">
        <f t="shared" si="8"/>
        <v>42.098581000000003</v>
      </c>
      <c r="X12" s="67"/>
      <c r="Y12" s="78"/>
      <c r="Z12" s="7"/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/>
      <c r="L13" s="7"/>
      <c r="M13" s="2"/>
      <c r="N13" s="42" t="s">
        <v>4</v>
      </c>
      <c r="O13" s="6">
        <f>+SUM('[1]EXP TOTAL VINO PAIS'!Z166:Z177)/1000000</f>
        <v>75.303950999999998</v>
      </c>
      <c r="P13" s="6">
        <f t="shared" ref="P13:W13" si="9">+SUM(C7:C13)+SUM(B14:B18)</f>
        <v>70.171478000000008</v>
      </c>
      <c r="Q13" s="6">
        <f t="shared" si="9"/>
        <v>58.197503999999995</v>
      </c>
      <c r="R13" s="6">
        <f t="shared" si="9"/>
        <v>67.401724000000002</v>
      </c>
      <c r="S13" s="6">
        <f t="shared" si="9"/>
        <v>61.603163000000002</v>
      </c>
      <c r="T13" s="6">
        <f t="shared" si="9"/>
        <v>66.703478999999987</v>
      </c>
      <c r="U13" s="6">
        <f t="shared" si="9"/>
        <v>70.040798999999993</v>
      </c>
      <c r="V13" s="6">
        <f t="shared" si="9"/>
        <v>47.029335000000003</v>
      </c>
      <c r="W13" s="67">
        <f t="shared" si="9"/>
        <v>44.751052999999999</v>
      </c>
      <c r="X13" s="67"/>
      <c r="Y13" s="78"/>
      <c r="Z13" s="7"/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/>
      <c r="L14" s="7"/>
      <c r="M14" s="2"/>
      <c r="N14" s="42" t="s">
        <v>5</v>
      </c>
      <c r="O14" s="6">
        <f>+SUM('[1]EXP TOTAL VINO PAIS'!Z167:Z178)/1000000</f>
        <v>77.612979999999993</v>
      </c>
      <c r="P14" s="6">
        <f t="shared" ref="P14:W14" si="10">+SUM(C7:C14)+SUM(B15:B18)</f>
        <v>69.109037000000001</v>
      </c>
      <c r="Q14" s="6">
        <f t="shared" si="10"/>
        <v>57.391973</v>
      </c>
      <c r="R14" s="6">
        <f t="shared" si="10"/>
        <v>67.048567999999989</v>
      </c>
      <c r="S14" s="6">
        <f t="shared" si="10"/>
        <v>64.080940999999996</v>
      </c>
      <c r="T14" s="6">
        <f t="shared" si="10"/>
        <v>63.678511999999998</v>
      </c>
      <c r="U14" s="6">
        <f t="shared" si="10"/>
        <v>72.388483999999991</v>
      </c>
      <c r="V14" s="6">
        <f t="shared" si="10"/>
        <v>44.036590000000004</v>
      </c>
      <c r="W14" s="67">
        <f t="shared" si="10"/>
        <v>45.610988000000006</v>
      </c>
      <c r="X14" s="67"/>
      <c r="Y14" s="78"/>
      <c r="Z14" s="7"/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/>
      <c r="L15" s="7"/>
      <c r="M15" s="2"/>
      <c r="N15" s="42" t="s">
        <v>6</v>
      </c>
      <c r="O15" s="6">
        <f>+SUM('[1]EXP TOTAL VINO PAIS'!Z168:Z179)/1000000</f>
        <v>77.114992000000001</v>
      </c>
      <c r="P15" s="6">
        <f t="shared" ref="P15:W15" si="11">+SUM(C7:C15)+SUM(B16:B18)</f>
        <v>67.580609999999993</v>
      </c>
      <c r="Q15" s="6">
        <f t="shared" si="11"/>
        <v>57.407274999999998</v>
      </c>
      <c r="R15" s="6">
        <f t="shared" si="11"/>
        <v>66.822296999999992</v>
      </c>
      <c r="S15" s="6">
        <f t="shared" si="11"/>
        <v>63.404003000000003</v>
      </c>
      <c r="T15" s="6">
        <f t="shared" si="11"/>
        <v>65.943027999999998</v>
      </c>
      <c r="U15" s="6">
        <f t="shared" si="11"/>
        <v>71.355786999999992</v>
      </c>
      <c r="V15" s="6">
        <f t="shared" si="11"/>
        <v>42.983122000000002</v>
      </c>
      <c r="W15" s="67">
        <f t="shared" si="11"/>
        <v>45.438462000000001</v>
      </c>
      <c r="X15" s="67"/>
      <c r="Y15" s="78"/>
      <c r="Z15" s="7"/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/>
      <c r="L16" s="7"/>
      <c r="M16" s="2"/>
      <c r="N16" s="42" t="s">
        <v>7</v>
      </c>
      <c r="O16" s="6">
        <f>+SUM('[1]EXP TOTAL VINO PAIS'!Z169:Z180)/1000000</f>
        <v>76.546565000000001</v>
      </c>
      <c r="P16" s="6">
        <f t="shared" ref="P16:W16" si="12">+SUM(C7:C16)+SUM(B17:B18)</f>
        <v>66.406599999999997</v>
      </c>
      <c r="Q16" s="6">
        <f t="shared" si="12"/>
        <v>56.866819</v>
      </c>
      <c r="R16" s="6">
        <f t="shared" si="12"/>
        <v>65.632803999999993</v>
      </c>
      <c r="S16" s="6">
        <f t="shared" si="12"/>
        <v>65.490884000000008</v>
      </c>
      <c r="T16" s="6">
        <f t="shared" si="12"/>
        <v>65.901978999999997</v>
      </c>
      <c r="U16" s="6">
        <f t="shared" si="12"/>
        <v>70.502616999999987</v>
      </c>
      <c r="V16" s="6">
        <f t="shared" si="12"/>
        <v>42.666900000000005</v>
      </c>
      <c r="W16" s="67">
        <f t="shared" si="12"/>
        <v>43.985959000000001</v>
      </c>
      <c r="X16" s="67"/>
      <c r="Y16" s="78"/>
      <c r="Z16" s="7"/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13">+SUM(C7:C17)+SUM(B18)</f>
        <v>65.053280999999998</v>
      </c>
      <c r="Q17" s="6">
        <f t="shared" si="13"/>
        <v>59.276530999999999</v>
      </c>
      <c r="R17" s="6">
        <f t="shared" si="13"/>
        <v>64.971833999999987</v>
      </c>
      <c r="S17" s="6">
        <f t="shared" si="13"/>
        <v>65.549710000000005</v>
      </c>
      <c r="T17" s="6">
        <f t="shared" si="13"/>
        <v>65.358243999999999</v>
      </c>
      <c r="U17" s="6">
        <f t="shared" si="13"/>
        <v>68.548518999999999</v>
      </c>
      <c r="V17" s="6">
        <f t="shared" si="13"/>
        <v>42.886796000000004</v>
      </c>
      <c r="W17" s="67">
        <f t="shared" si="13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14">+SUM(C7:C18)</f>
        <v>62.440691999999999</v>
      </c>
      <c r="Q18" s="6">
        <f t="shared" si="14"/>
        <v>61.264043999999998</v>
      </c>
      <c r="R18" s="6">
        <f t="shared" si="14"/>
        <v>66.387584999999987</v>
      </c>
      <c r="S18" s="6">
        <f t="shared" si="14"/>
        <v>60.93457200000001</v>
      </c>
      <c r="T18" s="6">
        <f t="shared" si="14"/>
        <v>67.410032999999999</v>
      </c>
      <c r="U18" s="6">
        <f t="shared" si="14"/>
        <v>66.293323999999998</v>
      </c>
      <c r="V18" s="6">
        <f t="shared" si="14"/>
        <v>42.524523000000002</v>
      </c>
      <c r="W18" s="67">
        <f t="shared" ref="W18" si="15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16">SUM(C7:C18)</f>
        <v>62.440691999999999</v>
      </c>
      <c r="D19" s="159">
        <f t="shared" si="16"/>
        <v>61.264043999999998</v>
      </c>
      <c r="E19" s="159">
        <f t="shared" si="16"/>
        <v>66.387584999999987</v>
      </c>
      <c r="F19" s="159">
        <f t="shared" si="16"/>
        <v>60.93457200000001</v>
      </c>
      <c r="G19" s="159">
        <f t="shared" ref="G19" si="17">SUM(G7:G18)</f>
        <v>67.410032999999999</v>
      </c>
      <c r="H19" s="159">
        <f t="shared" ref="H19:I19" si="18">SUM(H7:H18)</f>
        <v>66.293323999999998</v>
      </c>
      <c r="I19" s="159">
        <f t="shared" si="18"/>
        <v>42.524523000000002</v>
      </c>
      <c r="J19" s="216">
        <f t="shared" ref="J19" si="19">SUM(J7:J18)</f>
        <v>45.743361000000007</v>
      </c>
      <c r="K19" s="216"/>
      <c r="L19" s="56"/>
      <c r="M19" s="3"/>
      <c r="N19" s="43" t="s">
        <v>14</v>
      </c>
      <c r="O19" s="46">
        <f t="shared" ref="O19" si="20">+AVERAGE(O7:O18)</f>
        <v>80.591327833333324</v>
      </c>
      <c r="P19" s="46">
        <f>+AVERAGE(P7:P18)</f>
        <v>69.101660333333328</v>
      </c>
      <c r="Q19" s="46">
        <f t="shared" ref="Q19:U19" si="21">+AVERAGE(Q7:Q18)</f>
        <v>58.782005083333331</v>
      </c>
      <c r="R19" s="46">
        <f t="shared" si="21"/>
        <v>66.414060499999977</v>
      </c>
      <c r="S19" s="46">
        <f t="shared" si="21"/>
        <v>62.112787916666669</v>
      </c>
      <c r="T19" s="46">
        <f t="shared" si="21"/>
        <v>64.277063166666665</v>
      </c>
      <c r="U19" s="46">
        <f t="shared" si="21"/>
        <v>70.791366249999996</v>
      </c>
      <c r="V19" s="46">
        <f t="shared" ref="V19:W19" si="22">+AVERAGE(V7:V18)</f>
        <v>50.325656083333342</v>
      </c>
      <c r="W19" s="68">
        <f t="shared" si="22"/>
        <v>43.829329250000001</v>
      </c>
      <c r="X19" s="47">
        <f t="shared" ref="X19" si="23">+AVERAGE(X7:X18)</f>
        <v>44.999837666666657</v>
      </c>
      <c r="Y19" s="79">
        <f>+X19/W19-1</f>
        <v>2.6706053610588976E-2</v>
      </c>
      <c r="Z19" s="75">
        <f>+POWER(X19/S19,0.2)-1</f>
        <v>-6.2425072808410031E-2</v>
      </c>
    </row>
    <row r="20" spans="1:26" ht="25.5" x14ac:dyDescent="0.25">
      <c r="A20" s="57" t="s">
        <v>15</v>
      </c>
      <c r="B20" s="58">
        <f t="shared" ref="B20:G20" si="24">+B19/B$181</f>
        <v>0.2926885306263054</v>
      </c>
      <c r="C20" s="58">
        <f t="shared" si="24"/>
        <v>0.27820795941922954</v>
      </c>
      <c r="D20" s="58">
        <f t="shared" si="24"/>
        <v>0.22332650281005187</v>
      </c>
      <c r="E20" s="58">
        <f t="shared" si="24"/>
        <v>0.21776368685292916</v>
      </c>
      <c r="F20" s="58">
        <f t="shared" si="24"/>
        <v>0.15589792272151062</v>
      </c>
      <c r="G20" s="58">
        <f t="shared" si="24"/>
        <v>0.23332077280647825</v>
      </c>
      <c r="H20" s="58">
        <f t="shared" ref="H20" si="25">+H19/H$181</f>
        <v>0.26862340366471232</v>
      </c>
      <c r="I20" s="58">
        <f t="shared" ref="I20:J20" si="26">+I19/I$360</f>
        <v>6.5201960450600047E-2</v>
      </c>
      <c r="J20" s="189">
        <f t="shared" si="26"/>
        <v>6.7149667872844862E-2</v>
      </c>
      <c r="K20" s="234"/>
      <c r="L20" s="59"/>
      <c r="M20" s="3"/>
      <c r="N20" s="44" t="s">
        <v>15</v>
      </c>
      <c r="O20" s="48">
        <f t="shared" ref="O20:T20" si="27">+O19/O$181</f>
        <v>0.31124935999061154</v>
      </c>
      <c r="P20" s="48">
        <f t="shared" si="27"/>
        <v>0.28725889596388066</v>
      </c>
      <c r="Q20" s="48">
        <f t="shared" si="27"/>
        <v>0.24944453380973411</v>
      </c>
      <c r="R20" s="48">
        <f t="shared" si="27"/>
        <v>0.22416411908750783</v>
      </c>
      <c r="S20" s="48">
        <f t="shared" si="27"/>
        <v>0.16674580879506717</v>
      </c>
      <c r="T20" s="48">
        <f t="shared" si="27"/>
        <v>0.19820254389597095</v>
      </c>
      <c r="U20" s="48">
        <f t="shared" ref="U20:V20" si="28">+U19/U$181</f>
        <v>0.26158645748371201</v>
      </c>
      <c r="V20" s="48">
        <f t="shared" si="28"/>
        <v>0.2398247377628914</v>
      </c>
      <c r="W20" s="69">
        <f t="shared" ref="W20:X20" si="29">+W19/W$181</f>
        <v>0.23504312110487605</v>
      </c>
      <c r="X20" s="72">
        <f t="shared" si="29"/>
        <v>0.23189415203747968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30">+D19/C19-1</f>
        <v>-1.8844249836308724E-2</v>
      </c>
      <c r="E21" s="62">
        <f t="shared" si="30"/>
        <v>8.3630473365421176E-2</v>
      </c>
      <c r="F21" s="62">
        <f t="shared" si="30"/>
        <v>-8.213904753426382E-2</v>
      </c>
      <c r="G21" s="62">
        <f t="shared" si="30"/>
        <v>0.10626908153223735</v>
      </c>
      <c r="H21" s="62">
        <f t="shared" si="30"/>
        <v>-1.6565916827247396E-2</v>
      </c>
      <c r="I21" s="62">
        <f t="shared" si="30"/>
        <v>-0.35853988857158525</v>
      </c>
      <c r="J21" s="190">
        <f t="shared" si="30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31">+Q19/P19-1</f>
        <v>-0.14934019240955909</v>
      </c>
      <c r="R21" s="50">
        <f t="shared" si="31"/>
        <v>0.12983659549971005</v>
      </c>
      <c r="S21" s="50">
        <f t="shared" si="31"/>
        <v>-6.4764487383410452E-2</v>
      </c>
      <c r="T21" s="50">
        <f t="shared" si="31"/>
        <v>3.4844278007673424E-2</v>
      </c>
      <c r="U21" s="50">
        <f t="shared" si="31"/>
        <v>0.10134724211717838</v>
      </c>
      <c r="V21" s="50">
        <f t="shared" si="31"/>
        <v>-0.28909895727103097</v>
      </c>
      <c r="W21" s="70">
        <f t="shared" si="31"/>
        <v>-0.1290857852419488</v>
      </c>
      <c r="X21" s="73">
        <f t="shared" si="31"/>
        <v>2.6706053610588976E-2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25" t="s">
        <v>104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105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 t="shared" si="32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33">+P24+1</f>
        <v>2018</v>
      </c>
      <c r="R24" s="64">
        <f t="shared" ref="R24" si="34">+Q24+1</f>
        <v>2019</v>
      </c>
      <c r="S24" s="64">
        <f t="shared" ref="S24" si="35">+R24+1</f>
        <v>2020</v>
      </c>
      <c r="T24" s="64">
        <f t="shared" ref="T24" si="36">+S24+1</f>
        <v>2021</v>
      </c>
      <c r="U24" s="64">
        <f t="shared" ref="U24" si="37">+T24+1</f>
        <v>2022</v>
      </c>
      <c r="V24" s="64">
        <f t="shared" ref="V24" si="38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39">+SUM(C25)+SUM(B26:B36)</f>
        <v>31.922093000000004</v>
      </c>
      <c r="Q25" s="6">
        <f t="shared" si="39"/>
        <v>33.168529999999997</v>
      </c>
      <c r="R25" s="6">
        <f t="shared" si="39"/>
        <v>36.383245000000002</v>
      </c>
      <c r="S25" s="6">
        <f t="shared" si="39"/>
        <v>42.990412000000006</v>
      </c>
      <c r="T25" s="6">
        <f t="shared" si="39"/>
        <v>56.877958</v>
      </c>
      <c r="U25" s="6">
        <f t="shared" si="39"/>
        <v>58.509549</v>
      </c>
      <c r="V25" s="6">
        <f t="shared" si="39"/>
        <v>51.601760999999996</v>
      </c>
      <c r="W25" s="67">
        <f t="shared" si="39"/>
        <v>48.441680000000005</v>
      </c>
      <c r="X25" s="37">
        <f t="shared" si="39"/>
        <v>50.983899999999998</v>
      </c>
      <c r="Y25" s="78">
        <f>+X25/W25-1</f>
        <v>5.2480013079645227E-2</v>
      </c>
      <c r="Z25" s="7">
        <f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>+K26/J26-1</f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40">+SUM(C25:C26)+SUM(B27:B36)</f>
        <v>31.711840000000002</v>
      </c>
      <c r="Q26" s="6">
        <f t="shared" si="40"/>
        <v>33.048720000000003</v>
      </c>
      <c r="R26" s="6">
        <f t="shared" si="40"/>
        <v>37.249508000000006</v>
      </c>
      <c r="S26" s="6">
        <f t="shared" si="40"/>
        <v>43.176232999999996</v>
      </c>
      <c r="T26" s="6">
        <f t="shared" si="40"/>
        <v>58.156072999999992</v>
      </c>
      <c r="U26" s="6">
        <f t="shared" si="40"/>
        <v>58.997306000000002</v>
      </c>
      <c r="V26" s="6">
        <f t="shared" si="40"/>
        <v>50.080207000000001</v>
      </c>
      <c r="W26" s="67">
        <f t="shared" ref="W26" si="41">+SUM(J25:J26)+SUM(I27:I36)</f>
        <v>49.097040000000007</v>
      </c>
      <c r="X26" s="67">
        <f t="shared" ref="X26" si="42">+SUM(K25:K26)+SUM(J27:J36)</f>
        <v>50.618195999999998</v>
      </c>
      <c r="Y26" s="78">
        <f>+X26/W26-1</f>
        <v>3.0982641723411142E-2</v>
      </c>
      <c r="Z26" s="7">
        <f>+POWER(X26/S26,0.2)-1</f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3.588409</v>
      </c>
      <c r="L27" s="7">
        <f>+K27/J27-1</f>
        <v>-0.16217570404358239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43">+SUM(C25:C27)+SUM(B28:B36)</f>
        <v>31.688685000000007</v>
      </c>
      <c r="Q27" s="6">
        <f t="shared" si="43"/>
        <v>33.612690999999998</v>
      </c>
      <c r="R27" s="6">
        <f t="shared" si="43"/>
        <v>37.636498000000003</v>
      </c>
      <c r="S27" s="6">
        <f t="shared" si="43"/>
        <v>43.767225999999994</v>
      </c>
      <c r="T27" s="6">
        <f t="shared" si="43"/>
        <v>59.061229000000004</v>
      </c>
      <c r="U27" s="6">
        <f t="shared" si="43"/>
        <v>59.963940000000001</v>
      </c>
      <c r="V27" s="6">
        <f t="shared" si="43"/>
        <v>49.081495000000004</v>
      </c>
      <c r="W27" s="67">
        <f t="shared" si="43"/>
        <v>48.384148999999994</v>
      </c>
      <c r="X27" s="67">
        <f t="shared" ref="X27" si="44">+SUM(K25:K27)+SUM(J28:J36)</f>
        <v>49.923595999999996</v>
      </c>
      <c r="Y27" s="78">
        <f>+X27/W27-1</f>
        <v>3.1817176323593044E-2</v>
      </c>
      <c r="Z27" s="7">
        <f>+POWER(X27/S27,0.2)-1</f>
        <v>2.6671172240990471E-2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/>
      <c r="L28" s="7"/>
      <c r="M28" s="2"/>
      <c r="N28" s="42" t="s">
        <v>1</v>
      </c>
      <c r="O28" s="6">
        <f>+SUM('[1]EXP TOTAL VINO PAIS'!AA163:AA174)/1000000</f>
        <v>30.121302</v>
      </c>
      <c r="P28" s="6">
        <f t="shared" ref="P28:V28" si="45">+SUM(C25:C28)+SUM(B29:B36)</f>
        <v>32.605767999999998</v>
      </c>
      <c r="Q28" s="6">
        <f t="shared" si="45"/>
        <v>33.803713999999999</v>
      </c>
      <c r="R28" s="6">
        <f t="shared" si="45"/>
        <v>37.656609000000003</v>
      </c>
      <c r="S28" s="6">
        <f t="shared" si="45"/>
        <v>43.937522999999999</v>
      </c>
      <c r="T28" s="6">
        <f t="shared" si="45"/>
        <v>60.658337000000003</v>
      </c>
      <c r="U28" s="6">
        <f t="shared" si="45"/>
        <v>58.331244999999996</v>
      </c>
      <c r="V28" s="6">
        <f t="shared" si="45"/>
        <v>50.226636999999997</v>
      </c>
      <c r="W28" s="67">
        <f t="shared" ref="W28" si="46">+SUM(J25:J28)+SUM(I29:I36)</f>
        <v>47.895824999999995</v>
      </c>
      <c r="X28" s="37"/>
      <c r="Y28" s="78"/>
      <c r="Z28" s="7"/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/>
      <c r="L29" s="7"/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47">+SUM(C25:C29)+SUM(B30:B36)</f>
        <v>32.914759000000004</v>
      </c>
      <c r="Q29" s="6">
        <f t="shared" si="47"/>
        <v>33.670751000000003</v>
      </c>
      <c r="R29" s="6">
        <f t="shared" si="47"/>
        <v>38.828414000000002</v>
      </c>
      <c r="S29" s="6">
        <f t="shared" si="47"/>
        <v>45.442070000000001</v>
      </c>
      <c r="T29" s="6">
        <f t="shared" si="47"/>
        <v>61.802492000000001</v>
      </c>
      <c r="U29" s="6">
        <f t="shared" si="47"/>
        <v>56.065066999999999</v>
      </c>
      <c r="V29" s="6">
        <f t="shared" si="47"/>
        <v>50.544567999999998</v>
      </c>
      <c r="W29" s="67">
        <f t="shared" ref="W29" si="48">+SUM(J25:J29)+SUM(I30:I36)</f>
        <v>47.225775999999996</v>
      </c>
      <c r="X29" s="37"/>
      <c r="Y29" s="78"/>
      <c r="Z29" s="7"/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/>
      <c r="L30" s="7"/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49">+SUM(C25:C30)+SUM(B31:B36)</f>
        <v>34.256369000000007</v>
      </c>
      <c r="Q30" s="6">
        <f t="shared" si="49"/>
        <v>32.594542000000004</v>
      </c>
      <c r="R30" s="6">
        <f t="shared" si="49"/>
        <v>39.014240000000001</v>
      </c>
      <c r="S30" s="6">
        <f t="shared" si="49"/>
        <v>47.639866999999995</v>
      </c>
      <c r="T30" s="6">
        <f t="shared" si="49"/>
        <v>60.891330999999994</v>
      </c>
      <c r="U30" s="6">
        <f t="shared" si="49"/>
        <v>56.660569000000002</v>
      </c>
      <c r="V30" s="6">
        <f t="shared" si="49"/>
        <v>49.030306999999993</v>
      </c>
      <c r="W30" s="67">
        <f t="shared" ref="W30" si="50">+SUM(J25:J30)+SUM(I31:I36)</f>
        <v>45.933267000000001</v>
      </c>
      <c r="X30" s="67"/>
      <c r="Y30" s="78"/>
      <c r="Z30" s="7"/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/>
      <c r="L31" s="7"/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51">+SUM(C25:C31)+SUM(B32:B36)</f>
        <v>34.659798000000002</v>
      </c>
      <c r="Q31" s="6">
        <f t="shared" si="51"/>
        <v>32.812274000000002</v>
      </c>
      <c r="R31" s="6">
        <f t="shared" si="51"/>
        <v>39.100662</v>
      </c>
      <c r="S31" s="6">
        <f t="shared" si="51"/>
        <v>49.637346000000008</v>
      </c>
      <c r="T31" s="6">
        <f t="shared" si="51"/>
        <v>60.971754000000004</v>
      </c>
      <c r="U31" s="6">
        <f t="shared" si="51"/>
        <v>54.547196</v>
      </c>
      <c r="V31" s="6">
        <f t="shared" si="51"/>
        <v>49.252846000000005</v>
      </c>
      <c r="W31" s="67">
        <f t="shared" ref="W31" si="52">+SUM(J25:J31)+SUM(I32:I36)</f>
        <v>48.623446000000001</v>
      </c>
      <c r="X31" s="67"/>
      <c r="Y31" s="78"/>
      <c r="Z31" s="7"/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/>
      <c r="L32" s="7"/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53">+SUM(C25:C32)+SUM(B33:B36)</f>
        <v>34.307676999999998</v>
      </c>
      <c r="Q32" s="6">
        <f t="shared" si="53"/>
        <v>32.658608999999998</v>
      </c>
      <c r="R32" s="6">
        <f t="shared" si="53"/>
        <v>39.887822999999997</v>
      </c>
      <c r="S32" s="6">
        <f t="shared" si="53"/>
        <v>53.066747000000007</v>
      </c>
      <c r="T32" s="6">
        <f t="shared" si="53"/>
        <v>58.372070000000001</v>
      </c>
      <c r="U32" s="6">
        <f t="shared" si="53"/>
        <v>54.335889000000002</v>
      </c>
      <c r="V32" s="6">
        <f t="shared" si="53"/>
        <v>48.600248000000008</v>
      </c>
      <c r="W32" s="67">
        <f t="shared" ref="W32" si="54">+SUM(J25:J32)+SUM(I33:I36)</f>
        <v>51.236103999999997</v>
      </c>
      <c r="X32" s="67"/>
      <c r="Y32" s="78"/>
      <c r="Z32" s="7"/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/>
      <c r="L33" s="7"/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55">+SUM(C25:C33)+SUM(B34:B36)</f>
        <v>34.420974000000001</v>
      </c>
      <c r="Q33" s="6">
        <f t="shared" si="55"/>
        <v>32.736682000000002</v>
      </c>
      <c r="R33" s="6">
        <f t="shared" si="55"/>
        <v>40.689275000000002</v>
      </c>
      <c r="S33" s="6">
        <f t="shared" si="55"/>
        <v>53.880588000000003</v>
      </c>
      <c r="T33" s="6">
        <f t="shared" si="55"/>
        <v>58.412492999999998</v>
      </c>
      <c r="U33" s="6">
        <f t="shared" si="55"/>
        <v>55.542342000000005</v>
      </c>
      <c r="V33" s="6">
        <f t="shared" si="55"/>
        <v>46.716360000000002</v>
      </c>
      <c r="W33" s="67">
        <f t="shared" ref="W33" si="56">+SUM(J25:J33)+SUM(I34:I36)</f>
        <v>51.286359999999995</v>
      </c>
      <c r="X33" s="67"/>
      <c r="Y33" s="78"/>
      <c r="Z33" s="7"/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/>
      <c r="L34" s="7"/>
      <c r="M34" s="2"/>
      <c r="N34" s="42" t="s">
        <v>7</v>
      </c>
      <c r="O34" s="6">
        <f>+SUM('[1]EXP TOTAL VINO PAIS'!AA169:AA180)/1000000</f>
        <v>31.484123</v>
      </c>
      <c r="P34" s="6">
        <f t="shared" ref="P34:V34" si="57">+SUM(C25:C34)+SUM(B35:B36)</f>
        <v>33.743200000000002</v>
      </c>
      <c r="Q34" s="6">
        <f t="shared" si="57"/>
        <v>33.131019999999999</v>
      </c>
      <c r="R34" s="6">
        <f t="shared" si="57"/>
        <v>41.809471000000002</v>
      </c>
      <c r="S34" s="6">
        <f t="shared" si="57"/>
        <v>54.770694000000006</v>
      </c>
      <c r="T34" s="6">
        <f t="shared" si="57"/>
        <v>57.965476000000002</v>
      </c>
      <c r="U34" s="6">
        <f t="shared" si="57"/>
        <v>55.066659000000001</v>
      </c>
      <c r="V34" s="6">
        <f t="shared" si="57"/>
        <v>47.085229000000005</v>
      </c>
      <c r="W34" s="67">
        <f t="shared" ref="W34" si="58">+SUM(J25:J34)+SUM(I35:I36)</f>
        <v>51.363571999999991</v>
      </c>
      <c r="X34" s="67"/>
      <c r="Y34" s="78"/>
      <c r="Z34" s="7"/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59">+SUM(C25:C35)+SUM(B36)</f>
        <v>33.585196000000003</v>
      </c>
      <c r="Q35" s="6">
        <f t="shared" si="59"/>
        <v>33.740314000000005</v>
      </c>
      <c r="R35" s="6">
        <f t="shared" si="59"/>
        <v>41.976489000000001</v>
      </c>
      <c r="S35" s="6">
        <f t="shared" si="59"/>
        <v>56.209896000000008</v>
      </c>
      <c r="T35" s="6">
        <f t="shared" si="59"/>
        <v>59.016351</v>
      </c>
      <c r="U35" s="6">
        <f t="shared" si="59"/>
        <v>52.884072000000003</v>
      </c>
      <c r="V35" s="6">
        <f t="shared" si="59"/>
        <v>47.057739000000005</v>
      </c>
      <c r="W35" s="67">
        <f t="shared" ref="W35" si="60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61">+SUM(C25:C36)</f>
        <v>33.939956000000002</v>
      </c>
      <c r="Q36" s="6">
        <f t="shared" si="61"/>
        <v>35.373178000000003</v>
      </c>
      <c r="R36" s="6">
        <f t="shared" si="61"/>
        <v>42.310549999999999</v>
      </c>
      <c r="S36" s="6">
        <f t="shared" si="61"/>
        <v>56.375712000000007</v>
      </c>
      <c r="T36" s="6">
        <f t="shared" si="61"/>
        <v>60.042217000000001</v>
      </c>
      <c r="U36" s="6">
        <f t="shared" si="61"/>
        <v>51.356019000000003</v>
      </c>
      <c r="V36" s="6">
        <f t="shared" si="61"/>
        <v>48.063969000000007</v>
      </c>
      <c r="W36" s="67">
        <f t="shared" ref="W36" si="62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63">SUM(B25:B36)</f>
        <v>31.338954000000005</v>
      </c>
      <c r="C37" s="159">
        <f t="shared" si="63"/>
        <v>33.939956000000002</v>
      </c>
      <c r="D37" s="159">
        <f t="shared" si="63"/>
        <v>35.373178000000003</v>
      </c>
      <c r="E37" s="159">
        <f t="shared" si="63"/>
        <v>42.310549999999999</v>
      </c>
      <c r="F37" s="159">
        <f t="shared" si="63"/>
        <v>56.375712000000007</v>
      </c>
      <c r="G37" s="159">
        <f t="shared" si="63"/>
        <v>60.042217000000001</v>
      </c>
      <c r="H37" s="159">
        <f t="shared" ref="H37:I37" si="64">SUM(H25:H36)</f>
        <v>51.356019000000003</v>
      </c>
      <c r="I37" s="159">
        <f t="shared" si="64"/>
        <v>48.063969000000007</v>
      </c>
      <c r="J37" s="216">
        <f t="shared" ref="J37" si="65">SUM(J25:J36)</f>
        <v>51.878506999999992</v>
      </c>
      <c r="K37" s="216"/>
      <c r="L37" s="56"/>
      <c r="M37" s="3"/>
      <c r="N37" s="43" t="s">
        <v>14</v>
      </c>
      <c r="O37" s="46">
        <f t="shared" ref="O37" si="66">+AVERAGE(O25:O36)</f>
        <v>30.661497916666665</v>
      </c>
      <c r="P37" s="46">
        <f>+AVERAGE(P25:P36)</f>
        <v>33.31302625</v>
      </c>
      <c r="Q37" s="46">
        <f t="shared" ref="Q37:X37" si="67">+AVERAGE(Q25:Q36)</f>
        <v>33.362585416666668</v>
      </c>
      <c r="R37" s="46">
        <f t="shared" si="67"/>
        <v>39.378565333333334</v>
      </c>
      <c r="S37" s="46">
        <f t="shared" si="67"/>
        <v>49.241192833333336</v>
      </c>
      <c r="T37" s="46">
        <f t="shared" si="67"/>
        <v>59.352315083333337</v>
      </c>
      <c r="U37" s="46">
        <f t="shared" si="67"/>
        <v>56.021654416666671</v>
      </c>
      <c r="V37" s="46">
        <f t="shared" si="67"/>
        <v>48.945113833333345</v>
      </c>
      <c r="W37" s="68">
        <f t="shared" si="67"/>
        <v>49.435071583333333</v>
      </c>
      <c r="X37" s="47">
        <f t="shared" si="67"/>
        <v>50.508564</v>
      </c>
      <c r="Y37" s="79">
        <f>+X37/W37-1</f>
        <v>2.1715198993027984E-2</v>
      </c>
      <c r="Z37" s="75">
        <f>+POWER(X37/S37,0.2)-1</f>
        <v>5.095413721358133E-3</v>
      </c>
    </row>
    <row r="38" spans="1:26" ht="25.5" x14ac:dyDescent="0.25">
      <c r="A38" s="57" t="s">
        <v>15</v>
      </c>
      <c r="B38" s="58">
        <f t="shared" ref="B38:G38" si="68">+B37/B$181</f>
        <v>0.120879405037476</v>
      </c>
      <c r="C38" s="58">
        <f t="shared" si="68"/>
        <v>0.15122135260029529</v>
      </c>
      <c r="D38" s="58">
        <f t="shared" si="68"/>
        <v>0.1289462402452157</v>
      </c>
      <c r="E38" s="58">
        <f t="shared" si="68"/>
        <v>0.13878651197773204</v>
      </c>
      <c r="F38" s="58">
        <f t="shared" si="68"/>
        <v>0.14423431730588243</v>
      </c>
      <c r="G38" s="58">
        <f t="shared" si="68"/>
        <v>0.20781916056107355</v>
      </c>
      <c r="H38" s="58">
        <f t="shared" ref="H38" si="69">+H37/H$181</f>
        <v>0.20809680055339566</v>
      </c>
      <c r="I38" s="58">
        <f t="shared" ref="I38:J38" si="70">+I37/I$360</f>
        <v>7.3695476980114916E-2</v>
      </c>
      <c r="J38" s="189">
        <f t="shared" si="70"/>
        <v>7.6155849474835405E-2</v>
      </c>
      <c r="K38" s="234"/>
      <c r="L38" s="59"/>
      <c r="M38" s="3"/>
      <c r="N38" s="44" t="s">
        <v>15</v>
      </c>
      <c r="O38" s="48">
        <f t="shared" ref="O38:X38" si="71">+O37/O$181</f>
        <v>0.11841685525584231</v>
      </c>
      <c r="P38" s="48">
        <f t="shared" si="71"/>
        <v>0.13848383809635684</v>
      </c>
      <c r="Q38" s="48">
        <f t="shared" si="71"/>
        <v>0.14157588796349937</v>
      </c>
      <c r="R38" s="48">
        <f t="shared" si="71"/>
        <v>0.1329125390379729</v>
      </c>
      <c r="S38" s="48">
        <f t="shared" si="71"/>
        <v>0.13219117673552125</v>
      </c>
      <c r="T38" s="48">
        <f t="shared" si="71"/>
        <v>0.18301675988414531</v>
      </c>
      <c r="U38" s="48">
        <f t="shared" si="71"/>
        <v>0.20700979367286307</v>
      </c>
      <c r="V38" s="48">
        <f t="shared" si="71"/>
        <v>0.2332458233712221</v>
      </c>
      <c r="W38" s="69">
        <f t="shared" si="71"/>
        <v>0.26510498143180306</v>
      </c>
      <c r="X38" s="72">
        <f t="shared" si="71"/>
        <v>0.26028184159621615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72">+D37/C37-1</f>
        <v>4.2228163171454947E-2</v>
      </c>
      <c r="E39" s="62">
        <f t="shared" si="72"/>
        <v>0.19611955702707839</v>
      </c>
      <c r="F39" s="62">
        <f t="shared" si="72"/>
        <v>0.33242682971504767</v>
      </c>
      <c r="G39" s="62">
        <f t="shared" si="72"/>
        <v>6.5036961307025187E-2</v>
      </c>
      <c r="H39" s="62">
        <f t="shared" si="72"/>
        <v>-0.14466817572708879</v>
      </c>
      <c r="I39" s="62">
        <f t="shared" si="72"/>
        <v>-6.4102515422778339E-2</v>
      </c>
      <c r="J39" s="190">
        <f t="shared" si="72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73">+Q37/P37-1</f>
        <v>1.4876813140525247E-3</v>
      </c>
      <c r="R39" s="50">
        <f t="shared" ref="R39" si="74">+R37/Q37-1</f>
        <v>0.18032115441692698</v>
      </c>
      <c r="S39" s="50">
        <f t="shared" ref="S39" si="75">+S37/R37-1</f>
        <v>0.25045675017650892</v>
      </c>
      <c r="T39" s="50">
        <f t="shared" ref="T39" si="76">+T37/S37-1</f>
        <v>0.20533869445898922</v>
      </c>
      <c r="U39" s="50">
        <f t="shared" ref="U39" si="77">+U37/T37-1</f>
        <v>-5.6116777618366975E-2</v>
      </c>
      <c r="V39" s="50">
        <f t="shared" ref="V39" si="78">+V37/U37-1</f>
        <v>-0.12631795074634611</v>
      </c>
      <c r="W39" s="70">
        <f t="shared" ref="W39" si="79">+W37/V37-1</f>
        <v>1.001035060758837E-2</v>
      </c>
      <c r="X39" s="73">
        <f t="shared" ref="X39" si="80">+X37/W37-1</f>
        <v>2.1715198993027984E-2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25" t="s">
        <v>106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M41" s="2"/>
      <c r="N41" s="325" t="s">
        <v>107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81">+C42+1</f>
        <v>2018</v>
      </c>
      <c r="E42" s="39">
        <f t="shared" si="81"/>
        <v>2019</v>
      </c>
      <c r="F42" s="39">
        <f t="shared" si="81"/>
        <v>2020</v>
      </c>
      <c r="G42" s="39">
        <f t="shared" si="81"/>
        <v>2021</v>
      </c>
      <c r="H42" s="39">
        <f t="shared" si="81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82">+P42+1</f>
        <v>2018</v>
      </c>
      <c r="R42" s="64">
        <f t="shared" ref="R42" si="83">+Q42+1</f>
        <v>2019</v>
      </c>
      <c r="S42" s="64">
        <f t="shared" ref="S42" si="84">+R42+1</f>
        <v>2020</v>
      </c>
      <c r="T42" s="64">
        <f t="shared" ref="T42" si="85">+S42+1</f>
        <v>2021</v>
      </c>
      <c r="U42" s="64">
        <f t="shared" ref="U42" si="86">+T42+1</f>
        <v>2022</v>
      </c>
      <c r="V42" s="64">
        <f t="shared" ref="V42" si="87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88">+SUM(C43)+SUM(B44:B54)</f>
        <v>20.383514000000002</v>
      </c>
      <c r="Q43" s="6">
        <f t="shared" si="88"/>
        <v>16.959506999999999</v>
      </c>
      <c r="R43" s="6">
        <f t="shared" si="88"/>
        <v>25.866350999999998</v>
      </c>
      <c r="S43" s="6">
        <f t="shared" si="88"/>
        <v>34.964895999999996</v>
      </c>
      <c r="T43" s="6">
        <f t="shared" si="88"/>
        <v>43.756643000000004</v>
      </c>
      <c r="U43" s="6">
        <f t="shared" si="88"/>
        <v>26.957346999999999</v>
      </c>
      <c r="V43" s="6">
        <f t="shared" si="88"/>
        <v>12.230397999999997</v>
      </c>
      <c r="W43" s="67">
        <f t="shared" si="88"/>
        <v>10.015373</v>
      </c>
      <c r="X43" s="37">
        <f t="shared" si="88"/>
        <v>14.146269999999999</v>
      </c>
      <c r="Y43" s="78">
        <f>+X43/W43-1</f>
        <v>0.41245563195699231</v>
      </c>
      <c r="Z43" s="7">
        <f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>+K44/J44-1</f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89">+SUM(C43:C44)+SUM(B45:B54)</f>
        <v>20.141338000000001</v>
      </c>
      <c r="Q44" s="6">
        <f t="shared" si="89"/>
        <v>16.647429000000002</v>
      </c>
      <c r="R44" s="6">
        <f t="shared" si="89"/>
        <v>27.731762</v>
      </c>
      <c r="S44" s="6">
        <f t="shared" si="89"/>
        <v>35.573697000000003</v>
      </c>
      <c r="T44" s="6">
        <f t="shared" si="89"/>
        <v>44.072696999999998</v>
      </c>
      <c r="U44" s="6">
        <f t="shared" si="89"/>
        <v>24.420621999999998</v>
      </c>
      <c r="V44" s="6">
        <f t="shared" si="89"/>
        <v>11.653964999999999</v>
      </c>
      <c r="W44" s="67">
        <f t="shared" ref="W44" si="90">+SUM(J43:J44)+SUM(I45:I54)</f>
        <v>10.024407</v>
      </c>
      <c r="X44" s="67">
        <f t="shared" ref="X44" si="91">+SUM(K43:K44)+SUM(J45:J54)</f>
        <v>14.172222999999999</v>
      </c>
      <c r="Y44" s="78">
        <f>+X44/W44-1</f>
        <v>0.4137717073937639</v>
      </c>
      <c r="Z44" s="7">
        <f>+POWER(X44/S44,0.2)-1</f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0.83204900000000004</v>
      </c>
      <c r="L45" s="7">
        <f>+K45/J45-1</f>
        <v>-0.59106620749513805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92">+SUM(C43:C45)+SUM(B46:B54)</f>
        <v>19.929205</v>
      </c>
      <c r="Q45" s="6">
        <f t="shared" si="92"/>
        <v>16.308536</v>
      </c>
      <c r="R45" s="6">
        <f t="shared" si="92"/>
        <v>29.386995000000002</v>
      </c>
      <c r="S45" s="6">
        <f t="shared" si="92"/>
        <v>36.985159000000003</v>
      </c>
      <c r="T45" s="6">
        <f t="shared" si="92"/>
        <v>43.082329000000001</v>
      </c>
      <c r="U45" s="6">
        <f t="shared" si="92"/>
        <v>21.877980999999998</v>
      </c>
      <c r="V45" s="6">
        <f t="shared" si="92"/>
        <v>11.635721999999999</v>
      </c>
      <c r="W45" s="67">
        <f t="shared" si="92"/>
        <v>11.456362</v>
      </c>
      <c r="X45" s="67">
        <f t="shared" ref="X45" si="93">+SUM(K43:K45)+SUM(J46:J54)</f>
        <v>12.969593</v>
      </c>
      <c r="Y45" s="78">
        <f>+X45/W45-1</f>
        <v>0.1320865210090254</v>
      </c>
      <c r="Z45" s="7">
        <f>+POWER(X45/S45,0.2)-1</f>
        <v>-0.18907671405337823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/>
      <c r="L46" s="7"/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94">+SUM(C43:C46)+SUM(B47:B54)</f>
        <v>19.285401999999998</v>
      </c>
      <c r="Q46" s="6">
        <f t="shared" si="94"/>
        <v>16.095714000000001</v>
      </c>
      <c r="R46" s="6">
        <f t="shared" si="94"/>
        <v>31.036384999999996</v>
      </c>
      <c r="S46" s="6">
        <f t="shared" si="94"/>
        <v>38.475172999999998</v>
      </c>
      <c r="T46" s="6">
        <f t="shared" si="94"/>
        <v>41.542358999999998</v>
      </c>
      <c r="U46" s="6">
        <f t="shared" si="94"/>
        <v>19.895033999999999</v>
      </c>
      <c r="V46" s="6">
        <f t="shared" si="94"/>
        <v>11.744674999999999</v>
      </c>
      <c r="W46" s="67">
        <f t="shared" ref="W46" si="95">+SUM(J43:J46)+SUM(I47:I54)</f>
        <v>12.388085999999999</v>
      </c>
      <c r="X46" s="37"/>
      <c r="Y46" s="78"/>
      <c r="Z46" s="7"/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/>
      <c r="L47" s="7"/>
      <c r="M47" s="2"/>
      <c r="N47" s="42" t="s">
        <v>2</v>
      </c>
      <c r="O47" s="6">
        <f>+SUM('[1]EXP TOTAL VINO PAIS'!AB164:AB175)/1000000</f>
        <v>22.477096</v>
      </c>
      <c r="P47" s="6">
        <f t="shared" ref="P47:V47" si="96">+SUM(C43:C47)+SUM(B48:B54)</f>
        <v>18.551289999999998</v>
      </c>
      <c r="Q47" s="6">
        <f t="shared" si="96"/>
        <v>16.014534000000001</v>
      </c>
      <c r="R47" s="6">
        <f t="shared" si="96"/>
        <v>32.620391999999995</v>
      </c>
      <c r="S47" s="6">
        <f t="shared" si="96"/>
        <v>41.051237999999998</v>
      </c>
      <c r="T47" s="6">
        <f t="shared" si="96"/>
        <v>38.964092999999998</v>
      </c>
      <c r="U47" s="6">
        <f t="shared" si="96"/>
        <v>18.373911</v>
      </c>
      <c r="V47" s="6">
        <f t="shared" si="96"/>
        <v>11.180276000000001</v>
      </c>
      <c r="W47" s="67">
        <f t="shared" ref="W47" si="97">+SUM(J43:J47)+SUM(I48:I54)</f>
        <v>12.558415</v>
      </c>
      <c r="X47" s="37"/>
      <c r="Y47" s="78"/>
      <c r="Z47" s="7"/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/>
      <c r="L48" s="7"/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98">+SUM(C43:C48)+SUM(B49:B54)</f>
        <v>18.011615999999997</v>
      </c>
      <c r="Q48" s="6">
        <f t="shared" si="98"/>
        <v>16.065752</v>
      </c>
      <c r="R48" s="6">
        <f t="shared" si="98"/>
        <v>33.050393</v>
      </c>
      <c r="S48" s="6">
        <f t="shared" si="98"/>
        <v>41.929411999999999</v>
      </c>
      <c r="T48" s="6">
        <f t="shared" si="98"/>
        <v>38.461591999999996</v>
      </c>
      <c r="U48" s="6">
        <f t="shared" si="98"/>
        <v>17.932943999999999</v>
      </c>
      <c r="V48" s="6">
        <f t="shared" si="98"/>
        <v>10.205490000000001</v>
      </c>
      <c r="W48" s="67">
        <f t="shared" ref="W48" si="99">+SUM(J43:J48)+SUM(I49:I54)</f>
        <v>12.106960999999998</v>
      </c>
      <c r="X48" s="67"/>
      <c r="Y48" s="78"/>
      <c r="Z48" s="7"/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/>
      <c r="L49" s="7"/>
      <c r="M49" s="2"/>
      <c r="N49" s="42" t="s">
        <v>4</v>
      </c>
      <c r="O49" s="6">
        <f>+SUM('[1]EXP TOTAL VINO PAIS'!AB166:AB177)/1000000</f>
        <v>21.525575</v>
      </c>
      <c r="P49" s="6">
        <f t="shared" ref="P49:V49" si="100">+SUM(C43:C49)+SUM(B50:B54)</f>
        <v>18.385739999999998</v>
      </c>
      <c r="Q49" s="6">
        <f t="shared" si="100"/>
        <v>16.973222999999997</v>
      </c>
      <c r="R49" s="6">
        <f t="shared" si="100"/>
        <v>33.060530999999997</v>
      </c>
      <c r="S49" s="6">
        <f t="shared" si="100"/>
        <v>41.962333999999998</v>
      </c>
      <c r="T49" s="6">
        <f t="shared" si="100"/>
        <v>37.833283999999999</v>
      </c>
      <c r="U49" s="6">
        <f t="shared" si="100"/>
        <v>16.651907999999999</v>
      </c>
      <c r="V49" s="6">
        <f t="shared" si="100"/>
        <v>10.621570999999999</v>
      </c>
      <c r="W49" s="67">
        <f t="shared" ref="W49" si="101">+SUM(J43:J49)+SUM(I50:I54)</f>
        <v>12.425573999999997</v>
      </c>
      <c r="X49" s="67"/>
      <c r="Y49" s="78"/>
      <c r="Z49" s="7"/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/>
      <c r="L50" s="7"/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02">+SUM(C43:C50)+SUM(B51:B54)</f>
        <v>17.960699999999999</v>
      </c>
      <c r="Q50" s="6">
        <f t="shared" si="102"/>
        <v>18.325784999999996</v>
      </c>
      <c r="R50" s="6">
        <f t="shared" si="102"/>
        <v>33.492958999999999</v>
      </c>
      <c r="S50" s="6">
        <f t="shared" si="102"/>
        <v>43.874008000000003</v>
      </c>
      <c r="T50" s="6">
        <f t="shared" si="102"/>
        <v>34.134146999999999</v>
      </c>
      <c r="U50" s="6">
        <f t="shared" si="102"/>
        <v>16.422167999999999</v>
      </c>
      <c r="V50" s="6">
        <f t="shared" si="102"/>
        <v>9.8110330000000019</v>
      </c>
      <c r="W50" s="67">
        <f t="shared" ref="W50" si="103">+SUM(J43:J50)+SUM(I51:I54)</f>
        <v>13.371112999999998</v>
      </c>
      <c r="X50" s="67"/>
      <c r="Y50" s="78"/>
      <c r="Z50" s="7"/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/>
      <c r="L51" s="7"/>
      <c r="M51" s="2"/>
      <c r="N51" s="42" t="s">
        <v>6</v>
      </c>
      <c r="O51" s="6">
        <f>+SUM('[1]EXP TOTAL VINO PAIS'!AB168:AB179)/1000000</f>
        <v>20.822872</v>
      </c>
      <c r="P51" s="6">
        <f t="shared" ref="P51:V51" si="104">+SUM(C43:C51)+SUM(B52:B54)</f>
        <v>17.291045</v>
      </c>
      <c r="Q51" s="6">
        <f t="shared" si="104"/>
        <v>19.064912</v>
      </c>
      <c r="R51" s="6">
        <f t="shared" si="104"/>
        <v>33.834533</v>
      </c>
      <c r="S51" s="6">
        <f t="shared" si="104"/>
        <v>44.515027000000003</v>
      </c>
      <c r="T51" s="6">
        <f t="shared" si="104"/>
        <v>33.164620999999997</v>
      </c>
      <c r="U51" s="6">
        <f t="shared" si="104"/>
        <v>15.674326000000001</v>
      </c>
      <c r="V51" s="6">
        <f t="shared" si="104"/>
        <v>9.945881</v>
      </c>
      <c r="W51" s="67">
        <f t="shared" ref="W51" si="105">+SUM(J43:J51)+SUM(I52:I54)</f>
        <v>13.203036999999998</v>
      </c>
      <c r="X51" s="67"/>
      <c r="Y51" s="78"/>
      <c r="Z51" s="7"/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/>
      <c r="L52" s="7"/>
      <c r="M52" s="2"/>
      <c r="N52" s="42" t="s">
        <v>7</v>
      </c>
      <c r="O52" s="6">
        <f>+SUM('[1]EXP TOTAL VINO PAIS'!AB169:AB180)/1000000</f>
        <v>20.697599</v>
      </c>
      <c r="P52" s="6">
        <f t="shared" ref="P52:V52" si="106">+SUM(C43:C52)+SUM(B53:B54)</f>
        <v>17.322077999999998</v>
      </c>
      <c r="Q52" s="6">
        <f t="shared" si="106"/>
        <v>19.802363999999997</v>
      </c>
      <c r="R52" s="6">
        <f t="shared" si="106"/>
        <v>34.315382</v>
      </c>
      <c r="S52" s="6">
        <f t="shared" si="106"/>
        <v>44.764029000000008</v>
      </c>
      <c r="T52" s="6">
        <f t="shared" si="106"/>
        <v>32.102412000000001</v>
      </c>
      <c r="U52" s="6">
        <f t="shared" si="106"/>
        <v>14.138693</v>
      </c>
      <c r="V52" s="6">
        <f t="shared" si="106"/>
        <v>10.029944</v>
      </c>
      <c r="W52" s="67">
        <f t="shared" ref="W52" si="107">+SUM(J43:J52)+SUM(I53:I54)</f>
        <v>13.520535999999998</v>
      </c>
      <c r="X52" s="67"/>
      <c r="Y52" s="78"/>
      <c r="Z52" s="7"/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08">+SUM(C43:C53)+SUM(B54)</f>
        <v>17.314719</v>
      </c>
      <c r="Q53" s="6">
        <f t="shared" si="108"/>
        <v>20.562131999999998</v>
      </c>
      <c r="R53" s="6">
        <f t="shared" si="108"/>
        <v>34.544209000000002</v>
      </c>
      <c r="S53" s="6">
        <f t="shared" si="108"/>
        <v>45.114411000000004</v>
      </c>
      <c r="T53" s="6">
        <f t="shared" si="108"/>
        <v>31.303529999999999</v>
      </c>
      <c r="U53" s="6">
        <f t="shared" si="108"/>
        <v>13.265530999999999</v>
      </c>
      <c r="V53" s="6">
        <f t="shared" si="108"/>
        <v>9.9453040000000019</v>
      </c>
      <c r="W53" s="67">
        <f t="shared" ref="W53" si="109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10">+SUM(C43:C54)</f>
        <v>17.430828999999999</v>
      </c>
      <c r="Q54" s="6">
        <f t="shared" si="110"/>
        <v>23.441103999999996</v>
      </c>
      <c r="R54" s="6">
        <f t="shared" si="110"/>
        <v>34.991060000000004</v>
      </c>
      <c r="S54" s="6">
        <f t="shared" si="110"/>
        <v>43.781208000000007</v>
      </c>
      <c r="T54" s="6">
        <f t="shared" si="110"/>
        <v>29.752226999999998</v>
      </c>
      <c r="U54" s="6">
        <f t="shared" si="110"/>
        <v>12.086794999999999</v>
      </c>
      <c r="V54" s="6">
        <f t="shared" si="110"/>
        <v>9.867542000000002</v>
      </c>
      <c r="W54" s="67">
        <f t="shared" ref="W54" si="111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12">SUM(C43:C54)</f>
        <v>17.430828999999999</v>
      </c>
      <c r="D55" s="159">
        <f t="shared" si="112"/>
        <v>23.441103999999996</v>
      </c>
      <c r="E55" s="159">
        <f t="shared" si="112"/>
        <v>34.991060000000004</v>
      </c>
      <c r="F55" s="159">
        <f t="shared" si="112"/>
        <v>43.781208000000007</v>
      </c>
      <c r="G55" s="159">
        <f t="shared" ref="G55" si="113">SUM(G43:G54)</f>
        <v>29.752226999999998</v>
      </c>
      <c r="H55" s="159">
        <f t="shared" ref="H55:I55" si="114">SUM(H43:H54)</f>
        <v>12.086794999999999</v>
      </c>
      <c r="I55" s="159">
        <f t="shared" si="114"/>
        <v>9.867542000000002</v>
      </c>
      <c r="J55" s="216">
        <f t="shared" ref="J55" si="115">SUM(J43:J54)</f>
        <v>14.359818999999998</v>
      </c>
      <c r="K55" s="216"/>
      <c r="L55" s="56"/>
      <c r="M55" s="3"/>
      <c r="N55" s="43" t="s">
        <v>14</v>
      </c>
      <c r="O55" s="46">
        <f t="shared" ref="O55" si="116">+AVERAGE(O43:O54)</f>
        <v>21.581594833333337</v>
      </c>
      <c r="P55" s="46">
        <f>+AVERAGE(P43:P54)</f>
        <v>18.500623000000001</v>
      </c>
      <c r="Q55" s="46">
        <f t="shared" ref="Q55:X55" si="117">+AVERAGE(Q43:Q54)</f>
        <v>18.021749333333329</v>
      </c>
      <c r="R55" s="46">
        <f t="shared" si="117"/>
        <v>31.994246000000004</v>
      </c>
      <c r="S55" s="46">
        <f t="shared" si="117"/>
        <v>41.08254933333334</v>
      </c>
      <c r="T55" s="46">
        <f t="shared" si="117"/>
        <v>37.347494500000003</v>
      </c>
      <c r="U55" s="46">
        <f t="shared" si="117"/>
        <v>18.14143833333333</v>
      </c>
      <c r="V55" s="46">
        <f t="shared" si="117"/>
        <v>10.739316750000002</v>
      </c>
      <c r="W55" s="68">
        <f t="shared" si="117"/>
        <v>12.418711499999999</v>
      </c>
      <c r="X55" s="47">
        <f t="shared" si="117"/>
        <v>13.762695333333332</v>
      </c>
      <c r="Y55" s="79">
        <f>+X55/W55-1</f>
        <v>0.10822248615191143</v>
      </c>
      <c r="Z55" s="75">
        <f>+POWER(X55/S55,0.2)-1</f>
        <v>-0.19645681501801837</v>
      </c>
    </row>
    <row r="56" spans="1:26" ht="25.5" x14ac:dyDescent="0.25">
      <c r="A56" s="57" t="s">
        <v>15</v>
      </c>
      <c r="B56" s="58">
        <f t="shared" ref="B56:G56" si="118">+B55/B$181</f>
        <v>7.9076037033532734E-2</v>
      </c>
      <c r="C56" s="58">
        <f t="shared" si="118"/>
        <v>7.7664023439643001E-2</v>
      </c>
      <c r="D56" s="58">
        <f t="shared" si="118"/>
        <v>8.5450117826481015E-2</v>
      </c>
      <c r="E56" s="58">
        <f t="shared" si="118"/>
        <v>0.1147772167415347</v>
      </c>
      <c r="F56" s="58">
        <f t="shared" si="118"/>
        <v>0.112011936039173</v>
      </c>
      <c r="G56" s="58">
        <f t="shared" si="118"/>
        <v>0.10297892297951801</v>
      </c>
      <c r="H56" s="58">
        <f t="shared" ref="H56" si="119">+H55/H$181</f>
        <v>4.8976213838630669E-2</v>
      </c>
      <c r="I56" s="58">
        <f t="shared" ref="I56:J56" si="120">+I55/I$360</f>
        <v>1.5129695475446838E-2</v>
      </c>
      <c r="J56" s="189">
        <f t="shared" si="120"/>
        <v>2.107971638909889E-2</v>
      </c>
      <c r="K56" s="234"/>
      <c r="L56" s="59"/>
      <c r="M56" s="3"/>
      <c r="N56" s="44" t="s">
        <v>15</v>
      </c>
      <c r="O56" s="48">
        <f t="shared" ref="O56:X56" si="121">+O55/O$181</f>
        <v>8.3349632771199597E-2</v>
      </c>
      <c r="P56" s="48">
        <f t="shared" si="121"/>
        <v>7.6907971704123862E-2</v>
      </c>
      <c r="Q56" s="48">
        <f t="shared" si="121"/>
        <v>7.6476242253325638E-2</v>
      </c>
      <c r="R56" s="48">
        <f t="shared" si="121"/>
        <v>0.1079886083829948</v>
      </c>
      <c r="S56" s="48">
        <f t="shared" si="121"/>
        <v>0.1102887689591497</v>
      </c>
      <c r="T56" s="48">
        <f t="shared" si="121"/>
        <v>0.115163451056357</v>
      </c>
      <c r="U56" s="48">
        <f t="shared" si="121"/>
        <v>6.7035781884996204E-2</v>
      </c>
      <c r="V56" s="48">
        <f t="shared" si="121"/>
        <v>5.1177749556937019E-2</v>
      </c>
      <c r="W56" s="69">
        <f t="shared" si="121"/>
        <v>6.6597704345681186E-2</v>
      </c>
      <c r="X56" s="72">
        <f t="shared" si="121"/>
        <v>7.0922223935878465E-2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22">+D55/C55-1</f>
        <v>0.34480718042727609</v>
      </c>
      <c r="E57" s="62">
        <f t="shared" si="122"/>
        <v>0.49272235642143869</v>
      </c>
      <c r="F57" s="62">
        <f t="shared" si="122"/>
        <v>0.25121125224557361</v>
      </c>
      <c r="G57" s="62">
        <f t="shared" si="122"/>
        <v>-0.32043384915281481</v>
      </c>
      <c r="H57" s="62">
        <f t="shared" si="122"/>
        <v>-0.59375158706607079</v>
      </c>
      <c r="I57" s="62">
        <f t="shared" si="122"/>
        <v>-0.18360971622336586</v>
      </c>
      <c r="J57" s="190">
        <f t="shared" si="122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23">+Q55/P55-1</f>
        <v>-2.5884191395428746E-2</v>
      </c>
      <c r="R57" s="50">
        <f t="shared" ref="R57" si="124">+R55/Q55-1</f>
        <v>0.77531300698001115</v>
      </c>
      <c r="S57" s="50">
        <f t="shared" ref="S57" si="125">+S55/R55-1</f>
        <v>0.28406055680553721</v>
      </c>
      <c r="T57" s="50">
        <f t="shared" ref="T57" si="126">+T55/S55-1</f>
        <v>-9.091584855233914E-2</v>
      </c>
      <c r="U57" s="50">
        <f t="shared" ref="U57" si="127">+U55/T55-1</f>
        <v>-0.51425286819887406</v>
      </c>
      <c r="V57" s="50">
        <f t="shared" ref="V57" si="128">+V55/U55-1</f>
        <v>-0.40802286165659574</v>
      </c>
      <c r="W57" s="70">
        <f t="shared" ref="W57" si="129">+W55/V55-1</f>
        <v>0.15637817461711401</v>
      </c>
      <c r="X57" s="73">
        <f t="shared" ref="X57" si="130">+X55/W55-1</f>
        <v>0.10822248615191143</v>
      </c>
      <c r="Y57" s="51"/>
      <c r="Z57" s="52"/>
    </row>
    <row r="58" spans="1:26" ht="15.75" thickBot="1" x14ac:dyDescent="0.3"/>
    <row r="59" spans="1:26" ht="15.75" thickBot="1" x14ac:dyDescent="0.3">
      <c r="A59" s="325" t="s">
        <v>108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7"/>
      <c r="M59" s="2"/>
      <c r="N59" s="325" t="s">
        <v>109</v>
      </c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7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 t="shared" si="131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32">+P60+1</f>
        <v>2018</v>
      </c>
      <c r="R60" s="64">
        <f t="shared" ref="R60" si="133">+Q60+1</f>
        <v>2019</v>
      </c>
      <c r="S60" s="64">
        <f t="shared" ref="S60" si="134">+R60+1</f>
        <v>2020</v>
      </c>
      <c r="T60" s="64">
        <f t="shared" ref="T60" si="135">+S60+1</f>
        <v>2021</v>
      </c>
      <c r="U60" s="64">
        <f t="shared" ref="U60" si="136">+T60+1</f>
        <v>2022</v>
      </c>
      <c r="V60" s="64">
        <f t="shared" ref="V60" si="137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38">+SUM(C61)+SUM(B62:B72)</f>
        <v>14.90375</v>
      </c>
      <c r="Q61" s="6">
        <f t="shared" si="138"/>
        <v>16.556168</v>
      </c>
      <c r="R61" s="6">
        <f t="shared" si="138"/>
        <v>15.914369000000001</v>
      </c>
      <c r="S61" s="6">
        <f t="shared" si="138"/>
        <v>17.675551000000002</v>
      </c>
      <c r="T61" s="6">
        <f t="shared" si="138"/>
        <v>24.091116999999997</v>
      </c>
      <c r="U61" s="6">
        <f t="shared" si="138"/>
        <v>27.735144000000002</v>
      </c>
      <c r="V61" s="6">
        <f t="shared" si="138"/>
        <v>29.547384999999998</v>
      </c>
      <c r="W61" s="67">
        <f t="shared" si="138"/>
        <v>25.629724</v>
      </c>
      <c r="X61" s="37">
        <f t="shared" si="138"/>
        <v>25.519831999999997</v>
      </c>
      <c r="Y61" s="78">
        <f>+X61/W61-1</f>
        <v>-4.287677854041716E-3</v>
      </c>
      <c r="Z61" s="7">
        <f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>+K62/J62-1</f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39">+SUM(C61:C62)+SUM(B63:B72)</f>
        <v>15.260351</v>
      </c>
      <c r="Q62" s="6">
        <f t="shared" si="139"/>
        <v>16.556680999999998</v>
      </c>
      <c r="R62" s="6">
        <f t="shared" si="139"/>
        <v>15.937387999999999</v>
      </c>
      <c r="S62" s="6">
        <f t="shared" si="139"/>
        <v>17.965896000000001</v>
      </c>
      <c r="T62" s="6">
        <f t="shared" si="139"/>
        <v>24.139234999999999</v>
      </c>
      <c r="U62" s="6">
        <f t="shared" si="139"/>
        <v>28.552474000000004</v>
      </c>
      <c r="V62" s="6">
        <f t="shared" si="139"/>
        <v>29.275059999999996</v>
      </c>
      <c r="W62" s="67">
        <f t="shared" ref="W62" si="140">+SUM(J61:J62)+SUM(I63:I72)</f>
        <v>25.231731</v>
      </c>
      <c r="X62" s="67">
        <f t="shared" ref="X62" si="141">+SUM(K61:K62)+SUM(J63:J72)</f>
        <v>25.244951</v>
      </c>
      <c r="Y62" s="78">
        <f>+X62/W62-1</f>
        <v>5.2394344248529734E-4</v>
      </c>
      <c r="Z62" s="7">
        <f>+POWER(X62/S62,0.2)-1</f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1.8280270000000001</v>
      </c>
      <c r="L63" s="7">
        <f>+K63/J63-1</f>
        <v>1.7791321877437216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42">+SUM(C61:C63)+SUM(B64:B72)</f>
        <v>15.15924</v>
      </c>
      <c r="Q63" s="6">
        <f t="shared" si="142"/>
        <v>16.925502999999999</v>
      </c>
      <c r="R63" s="6">
        <f t="shared" si="142"/>
        <v>15.692542999999997</v>
      </c>
      <c r="S63" s="6">
        <f t="shared" si="142"/>
        <v>17.820460999999998</v>
      </c>
      <c r="T63" s="6">
        <f t="shared" si="142"/>
        <v>25.341104000000001</v>
      </c>
      <c r="U63" s="6">
        <f t="shared" si="142"/>
        <v>28.448935000000002</v>
      </c>
      <c r="V63" s="6">
        <f t="shared" si="142"/>
        <v>29.666103999999997</v>
      </c>
      <c r="W63" s="67">
        <f t="shared" si="142"/>
        <v>23.489874</v>
      </c>
      <c r="X63" s="67">
        <f t="shared" ref="X63" si="143">+SUM(K61:K63)+SUM(J64:J72)</f>
        <v>26.415209000000004</v>
      </c>
      <c r="Y63" s="78">
        <f>+X63/W63-1</f>
        <v>0.12453600219396677</v>
      </c>
      <c r="Z63" s="7">
        <f>+POWER(X63/S63,0.2)-1</f>
        <v>8.1899757152834818E-2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/>
      <c r="L64" s="7"/>
      <c r="M64" s="2"/>
      <c r="N64" s="42" t="s">
        <v>1</v>
      </c>
      <c r="O64" s="6">
        <f>+SUM('[1]EXP TOTAL VINO PAIS'!AC163:AC174)/1000000</f>
        <v>12.330843</v>
      </c>
      <c r="P64" s="6">
        <f t="shared" ref="P64:V64" si="144">+SUM(C61:C64)+SUM(B65:B72)</f>
        <v>15.573389000000001</v>
      </c>
      <c r="Q64" s="6">
        <f t="shared" si="144"/>
        <v>16.857861999999997</v>
      </c>
      <c r="R64" s="6">
        <f t="shared" si="144"/>
        <v>15.758233000000001</v>
      </c>
      <c r="S64" s="6">
        <f t="shared" si="144"/>
        <v>17.046793999999998</v>
      </c>
      <c r="T64" s="6">
        <f t="shared" si="144"/>
        <v>26.543658000000001</v>
      </c>
      <c r="U64" s="6">
        <f t="shared" si="144"/>
        <v>28.831400000000002</v>
      </c>
      <c r="V64" s="6">
        <f t="shared" si="144"/>
        <v>29.401587999999997</v>
      </c>
      <c r="W64" s="67">
        <f t="shared" ref="W64" si="145">+SUM(J61:J64)+SUM(I65:I72)</f>
        <v>22.215616000000001</v>
      </c>
      <c r="X64" s="37"/>
      <c r="Y64" s="78"/>
      <c r="Z64" s="7"/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/>
      <c r="L65" s="7"/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46">+SUM(C61:C65)+SUM(B66:B72)</f>
        <v>15.52308</v>
      </c>
      <c r="Q65" s="6">
        <f t="shared" si="146"/>
        <v>16.870708999999998</v>
      </c>
      <c r="R65" s="6">
        <f t="shared" si="146"/>
        <v>15.812969000000001</v>
      </c>
      <c r="S65" s="6">
        <f t="shared" si="146"/>
        <v>17.152684999999998</v>
      </c>
      <c r="T65" s="6">
        <f t="shared" si="146"/>
        <v>27.516058999999998</v>
      </c>
      <c r="U65" s="6">
        <f t="shared" si="146"/>
        <v>29.339164000000004</v>
      </c>
      <c r="V65" s="6">
        <f t="shared" si="146"/>
        <v>28.882835999999998</v>
      </c>
      <c r="W65" s="67">
        <f t="shared" ref="W65" si="147">+SUM(J61:J65)+SUM(I66:I72)</f>
        <v>22.865506</v>
      </c>
      <c r="X65" s="37"/>
      <c r="Y65" s="78"/>
      <c r="Z65" s="7"/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/>
      <c r="L66" s="7"/>
      <c r="M66" s="2"/>
      <c r="N66" s="42" t="s">
        <v>3</v>
      </c>
      <c r="O66" s="6">
        <f>+SUM('[1]EXP TOTAL VINO PAIS'!AC165:AC176)/1000000</f>
        <v>12.741818</v>
      </c>
      <c r="P66" s="6">
        <f t="shared" ref="P66:V66" si="148">+SUM(C61:C66)+SUM(B67:B72)</f>
        <v>15.910418</v>
      </c>
      <c r="Q66" s="6">
        <f t="shared" si="148"/>
        <v>16.879504000000001</v>
      </c>
      <c r="R66" s="6">
        <f t="shared" si="148"/>
        <v>15.346774</v>
      </c>
      <c r="S66" s="6">
        <f t="shared" si="148"/>
        <v>18.005304000000002</v>
      </c>
      <c r="T66" s="6">
        <f t="shared" si="148"/>
        <v>27.920746000000001</v>
      </c>
      <c r="U66" s="6">
        <f t="shared" si="148"/>
        <v>28.931497000000004</v>
      </c>
      <c r="V66" s="6">
        <f t="shared" si="148"/>
        <v>29.139667000000003</v>
      </c>
      <c r="W66" s="67">
        <f t="shared" ref="W66" si="149">+SUM(J61:J66)+SUM(I67:I72)</f>
        <v>23.287272000000002</v>
      </c>
      <c r="X66" s="67"/>
      <c r="Y66" s="78"/>
      <c r="Z66" s="7"/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/>
      <c r="L67" s="7"/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150">+SUM(C61:C67)+SUM(B68:B72)</f>
        <v>16.255908000000002</v>
      </c>
      <c r="Q67" s="6">
        <f t="shared" si="150"/>
        <v>16.292943000000001</v>
      </c>
      <c r="R67" s="6">
        <f t="shared" si="150"/>
        <v>15.855817000000002</v>
      </c>
      <c r="S67" s="6">
        <f t="shared" si="150"/>
        <v>18.404789000000001</v>
      </c>
      <c r="T67" s="6">
        <f t="shared" si="150"/>
        <v>28.446594000000001</v>
      </c>
      <c r="U67" s="6">
        <f t="shared" si="150"/>
        <v>28.752343000000003</v>
      </c>
      <c r="V67" s="6">
        <f t="shared" si="150"/>
        <v>28.838085</v>
      </c>
      <c r="W67" s="67">
        <f t="shared" ref="W67" si="151">+SUM(J61:J67)+SUM(I68:I72)</f>
        <v>23.980105000000002</v>
      </c>
      <c r="X67" s="67"/>
      <c r="Y67" s="78"/>
      <c r="Z67" s="7"/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/>
      <c r="L68" s="7"/>
      <c r="M68" s="2"/>
      <c r="N68" s="42" t="s">
        <v>5</v>
      </c>
      <c r="O68" s="6">
        <f>+SUM('[1]EXP TOTAL VINO PAIS'!AC167:AC178)/1000000</f>
        <v>12.989144</v>
      </c>
      <c r="P68" s="6">
        <f t="shared" ref="P68:V68" si="152">+SUM(C61:C68)+SUM(B69:B72)</f>
        <v>16.336196999999999</v>
      </c>
      <c r="Q68" s="6">
        <f t="shared" si="152"/>
        <v>16.393826000000004</v>
      </c>
      <c r="R68" s="6">
        <f t="shared" si="152"/>
        <v>15.660647000000001</v>
      </c>
      <c r="S68" s="6">
        <f t="shared" si="152"/>
        <v>19.262042000000001</v>
      </c>
      <c r="T68" s="6">
        <f t="shared" si="152"/>
        <v>28.658654000000002</v>
      </c>
      <c r="U68" s="6">
        <f t="shared" si="152"/>
        <v>29.479441000000001</v>
      </c>
      <c r="V68" s="6">
        <f t="shared" si="152"/>
        <v>27.625576000000002</v>
      </c>
      <c r="W68" s="67">
        <f t="shared" ref="W68" si="153">+SUM(J61:J68)+SUM(I69:I72)</f>
        <v>24.280183999999998</v>
      </c>
      <c r="X68" s="67"/>
      <c r="Y68" s="78"/>
      <c r="Z68" s="7"/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/>
      <c r="L69" s="7"/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154">+SUM(C61:C69)+SUM(B70:B72)</f>
        <v>16.181004999999999</v>
      </c>
      <c r="Q69" s="6">
        <f t="shared" si="154"/>
        <v>15.955893000000001</v>
      </c>
      <c r="R69" s="6">
        <f t="shared" si="154"/>
        <v>16.515093</v>
      </c>
      <c r="S69" s="6">
        <f t="shared" si="154"/>
        <v>20.036049999999999</v>
      </c>
      <c r="T69" s="6">
        <f t="shared" si="154"/>
        <v>29.360279999999999</v>
      </c>
      <c r="U69" s="6">
        <f t="shared" si="154"/>
        <v>28.513259000000001</v>
      </c>
      <c r="V69" s="6">
        <f t="shared" si="154"/>
        <v>27.205835</v>
      </c>
      <c r="W69" s="67">
        <f t="shared" ref="W69" si="155">+SUM(J61:J69)+SUM(I70:I72)</f>
        <v>25.295916999999999</v>
      </c>
      <c r="X69" s="67"/>
      <c r="Y69" s="78"/>
      <c r="Z69" s="7"/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/>
      <c r="L70" s="7"/>
      <c r="M70" s="2"/>
      <c r="N70" s="42" t="s">
        <v>7</v>
      </c>
      <c r="O70" s="6">
        <f>+SUM('[1]EXP TOTAL VINO PAIS'!AC169:AC180)/1000000</f>
        <v>13.860828</v>
      </c>
      <c r="P70" s="6">
        <f t="shared" ref="P70:V70" si="156">+SUM(C61:C70)+SUM(B71:B72)</f>
        <v>16.255326</v>
      </c>
      <c r="Q70" s="6">
        <f t="shared" si="156"/>
        <v>15.715669999999999</v>
      </c>
      <c r="R70" s="6">
        <f t="shared" si="156"/>
        <v>17.048588000000002</v>
      </c>
      <c r="S70" s="6">
        <f t="shared" si="156"/>
        <v>21.512754999999999</v>
      </c>
      <c r="T70" s="6">
        <f t="shared" si="156"/>
        <v>28.589010000000002</v>
      </c>
      <c r="U70" s="6">
        <f t="shared" si="156"/>
        <v>29.239173000000001</v>
      </c>
      <c r="V70" s="6">
        <f t="shared" si="156"/>
        <v>26.307723000000003</v>
      </c>
      <c r="W70" s="67">
        <f t="shared" ref="W70" si="157">+SUM(J61:J70)+SUM(I71:I72)</f>
        <v>25.223707000000001</v>
      </c>
      <c r="X70" s="67"/>
      <c r="Y70" s="78"/>
      <c r="Z70" s="7"/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158">+SUM(C61:C71)+SUM(B72)</f>
        <v>16.248864999999999</v>
      </c>
      <c r="Q71" s="6">
        <f t="shared" si="158"/>
        <v>15.895123999999999</v>
      </c>
      <c r="R71" s="6">
        <f t="shared" si="158"/>
        <v>17.744284</v>
      </c>
      <c r="S71" s="6">
        <f t="shared" si="158"/>
        <v>22.620203999999994</v>
      </c>
      <c r="T71" s="6">
        <f t="shared" si="158"/>
        <v>27.840934000000001</v>
      </c>
      <c r="U71" s="6">
        <f t="shared" si="158"/>
        <v>29.252373000000002</v>
      </c>
      <c r="V71" s="6">
        <f t="shared" si="158"/>
        <v>25.775645000000001</v>
      </c>
      <c r="W71" s="67">
        <f t="shared" ref="W71" si="159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160">+SUM(C61:C72)</f>
        <v>16.302271000000001</v>
      </c>
      <c r="Q72" s="6">
        <f t="shared" si="160"/>
        <v>16.282304</v>
      </c>
      <c r="R72" s="6">
        <f t="shared" si="160"/>
        <v>17.650233</v>
      </c>
      <c r="S72" s="6">
        <f t="shared" si="160"/>
        <v>23.084931999999995</v>
      </c>
      <c r="T72" s="6">
        <f t="shared" si="160"/>
        <v>28.151715000000003</v>
      </c>
      <c r="U72" s="6">
        <f t="shared" si="160"/>
        <v>28.695771000000001</v>
      </c>
      <c r="V72" s="6">
        <f t="shared" si="160"/>
        <v>26.555810000000001</v>
      </c>
      <c r="W72" s="67">
        <f t="shared" ref="W72" si="161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162">SUM(C61:C72)</f>
        <v>16.302271000000001</v>
      </c>
      <c r="D73" s="159">
        <f t="shared" si="162"/>
        <v>16.282304</v>
      </c>
      <c r="E73" s="159">
        <f t="shared" si="162"/>
        <v>17.650233</v>
      </c>
      <c r="F73" s="159">
        <f t="shared" si="162"/>
        <v>23.084931999999995</v>
      </c>
      <c r="G73" s="159">
        <f t="shared" ref="G73:I73" si="163">SUM(G61:G72)</f>
        <v>28.151715000000003</v>
      </c>
      <c r="H73" s="159">
        <f t="shared" si="163"/>
        <v>28.695771000000001</v>
      </c>
      <c r="I73" s="159">
        <f t="shared" si="163"/>
        <v>26.555810000000001</v>
      </c>
      <c r="J73" s="216">
        <f t="shared" ref="J73" si="164">SUM(J61:J72)</f>
        <v>25.344515000000001</v>
      </c>
      <c r="K73" s="216"/>
      <c r="L73" s="56"/>
      <c r="M73" s="3"/>
      <c r="N73" s="43" t="s">
        <v>14</v>
      </c>
      <c r="O73" s="46">
        <f t="shared" ref="O73" si="165">+AVERAGE(O61:O72)</f>
        <v>13.110819416666665</v>
      </c>
      <c r="P73" s="46">
        <f>+AVERAGE(P61:P72)</f>
        <v>15.825816666666666</v>
      </c>
      <c r="Q73" s="46">
        <f t="shared" ref="Q73:X73" si="166">+AVERAGE(Q61:Q72)</f>
        <v>16.431848916666667</v>
      </c>
      <c r="R73" s="46">
        <f t="shared" si="166"/>
        <v>16.244744833333332</v>
      </c>
      <c r="S73" s="46">
        <f t="shared" si="166"/>
        <v>19.215621916666663</v>
      </c>
      <c r="T73" s="46">
        <f t="shared" si="166"/>
        <v>27.216592166666668</v>
      </c>
      <c r="U73" s="46">
        <f t="shared" si="166"/>
        <v>28.814247833333329</v>
      </c>
      <c r="V73" s="46">
        <f t="shared" si="166"/>
        <v>28.185109499999999</v>
      </c>
      <c r="W73" s="68">
        <f t="shared" si="166"/>
        <v>24.355274083333331</v>
      </c>
      <c r="X73" s="47">
        <f t="shared" si="166"/>
        <v>25.726664</v>
      </c>
      <c r="Y73" s="79">
        <f>+X73/W73-1</f>
        <v>5.6307718483247671E-2</v>
      </c>
      <c r="Z73" s="75">
        <f>+POWER(X73/S73,0.2)-1</f>
        <v>6.0097489177960872E-2</v>
      </c>
    </row>
    <row r="74" spans="1:26" ht="25.5" x14ac:dyDescent="0.25">
      <c r="A74" s="57" t="s">
        <v>15</v>
      </c>
      <c r="B74" s="58">
        <f t="shared" ref="B74:G74" si="167">+B73/B$181</f>
        <v>5.621026713890151E-2</v>
      </c>
      <c r="C74" s="58">
        <f t="shared" si="167"/>
        <v>7.2635670802772057E-2</v>
      </c>
      <c r="D74" s="58">
        <f t="shared" si="167"/>
        <v>5.9354064351516182E-2</v>
      </c>
      <c r="E74" s="58">
        <f t="shared" si="167"/>
        <v>5.7896063125255082E-2</v>
      </c>
      <c r="F74" s="58">
        <f t="shared" si="167"/>
        <v>5.9061593884130771E-2</v>
      </c>
      <c r="G74" s="58">
        <f t="shared" si="167"/>
        <v>9.7439203146922157E-2</v>
      </c>
      <c r="H74" s="58">
        <f t="shared" ref="H74" si="168">+H73/H$181</f>
        <v>0.11627649982980408</v>
      </c>
      <c r="I74" s="58">
        <f t="shared" ref="I74:J74" si="169">+I73/I$360</f>
        <v>4.0717467268325369E-2</v>
      </c>
      <c r="J74" s="189">
        <f t="shared" si="169"/>
        <v>3.7204869240988536E-2</v>
      </c>
      <c r="K74" s="234"/>
      <c r="L74" s="59"/>
      <c r="M74" s="3"/>
      <c r="N74" s="44" t="s">
        <v>15</v>
      </c>
      <c r="O74" s="48">
        <f t="shared" ref="O74:X74" si="170">+O73/O$181</f>
        <v>5.0634904053561858E-2</v>
      </c>
      <c r="P74" s="48">
        <f t="shared" si="170"/>
        <v>6.5788674273004305E-2</v>
      </c>
      <c r="Q74" s="48">
        <f t="shared" si="170"/>
        <v>6.9729416117043252E-2</v>
      </c>
      <c r="R74" s="48">
        <f t="shared" si="170"/>
        <v>5.4830090013326498E-2</v>
      </c>
      <c r="S74" s="48">
        <f t="shared" si="170"/>
        <v>5.1585583669076326E-2</v>
      </c>
      <c r="T74" s="48">
        <f t="shared" si="170"/>
        <v>8.3924148644208135E-2</v>
      </c>
      <c r="U74" s="48">
        <f t="shared" si="170"/>
        <v>0.10647367631189615</v>
      </c>
      <c r="V74" s="48">
        <f t="shared" si="170"/>
        <v>0.13431492047441901</v>
      </c>
      <c r="W74" s="69">
        <f t="shared" si="170"/>
        <v>0.13060979334771283</v>
      </c>
      <c r="X74" s="72">
        <f t="shared" si="170"/>
        <v>0.13257521009797618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171">+D73/C73-1</f>
        <v>-1.2247986798895605E-3</v>
      </c>
      <c r="E75" s="62">
        <f t="shared" si="171"/>
        <v>8.4013233016654087E-2</v>
      </c>
      <c r="F75" s="62">
        <f t="shared" si="171"/>
        <v>0.30791089273439032</v>
      </c>
      <c r="G75" s="62">
        <f t="shared" si="171"/>
        <v>0.21948442386574962</v>
      </c>
      <c r="H75" s="62">
        <f t="shared" si="171"/>
        <v>1.9325856346584791E-2</v>
      </c>
      <c r="I75" s="62">
        <f t="shared" si="171"/>
        <v>-7.4574089680322531E-2</v>
      </c>
      <c r="J75" s="190">
        <f t="shared" si="171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172">+Q73/P73-1</f>
        <v>3.8293900578063811E-2</v>
      </c>
      <c r="R75" s="50">
        <f t="shared" ref="R75" si="173">+R73/Q73-1</f>
        <v>-1.1386672569972167E-2</v>
      </c>
      <c r="S75" s="50">
        <f t="shared" ref="S75" si="174">+S73/R73-1</f>
        <v>0.1828823483418005</v>
      </c>
      <c r="T75" s="50">
        <f t="shared" ref="T75" si="175">+T73/S73-1</f>
        <v>0.41637841776332851</v>
      </c>
      <c r="U75" s="50">
        <f t="shared" ref="U75" si="176">+U73/T73-1</f>
        <v>5.8701532391824518E-2</v>
      </c>
      <c r="V75" s="50">
        <f t="shared" ref="V75" si="177">+V73/U73-1</f>
        <v>-2.1834279241727095E-2</v>
      </c>
      <c r="W75" s="70">
        <f t="shared" ref="W75" si="178">+W73/V73-1</f>
        <v>-0.13588151632572754</v>
      </c>
      <c r="X75" s="73">
        <f t="shared" ref="X75" si="179">+X73/W73-1</f>
        <v>5.6307718483247671E-2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25" t="s">
        <v>110</v>
      </c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7"/>
      <c r="M77" s="2"/>
      <c r="N77" s="325" t="s">
        <v>111</v>
      </c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7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180">+C78+1</f>
        <v>2018</v>
      </c>
      <c r="E78" s="39">
        <f t="shared" si="180"/>
        <v>2019</v>
      </c>
      <c r="F78" s="39">
        <f t="shared" si="180"/>
        <v>2020</v>
      </c>
      <c r="G78" s="39">
        <f t="shared" si="180"/>
        <v>2021</v>
      </c>
      <c r="H78" s="39">
        <f t="shared" si="180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181">+P78+1</f>
        <v>2018</v>
      </c>
      <c r="R78" s="64">
        <f t="shared" ref="R78" si="182">+Q78+1</f>
        <v>2019</v>
      </c>
      <c r="S78" s="64">
        <f t="shared" ref="S78" si="183">+R78+1</f>
        <v>2020</v>
      </c>
      <c r="T78" s="64">
        <f t="shared" ref="T78" si="184">+S78+1</f>
        <v>2021</v>
      </c>
      <c r="U78" s="64">
        <f t="shared" ref="U78" si="185">+T78+1</f>
        <v>2022</v>
      </c>
      <c r="V78" s="64">
        <f t="shared" ref="V78" si="186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187">+SUM(C79)+SUM(B80:B90)</f>
        <v>11.064861999999998</v>
      </c>
      <c r="Q79" s="6">
        <f t="shared" si="187"/>
        <v>8.6534759999999995</v>
      </c>
      <c r="R79" s="6">
        <f t="shared" si="187"/>
        <v>7.403308</v>
      </c>
      <c r="S79" s="6">
        <f t="shared" si="187"/>
        <v>6.9718619999999998</v>
      </c>
      <c r="T79" s="6">
        <f t="shared" si="187"/>
        <v>8.1687639999999995</v>
      </c>
      <c r="U79" s="6">
        <f t="shared" si="187"/>
        <v>6.8351989999999994</v>
      </c>
      <c r="V79" s="6">
        <f t="shared" si="187"/>
        <v>7.0042270000000002</v>
      </c>
      <c r="W79" s="67">
        <f t="shared" si="187"/>
        <v>5.049582</v>
      </c>
      <c r="X79" s="37">
        <f t="shared" si="187"/>
        <v>5.6588569999999994</v>
      </c>
      <c r="Y79" s="78">
        <f>+X79/W79-1</f>
        <v>0.12065850203046491</v>
      </c>
      <c r="Z79" s="7">
        <f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>+K80/J80-1</f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188">+SUM(C79:C80)+SUM(B81:B90)</f>
        <v>10.927121</v>
      </c>
      <c r="Q80" s="6">
        <f t="shared" si="188"/>
        <v>8.7256590000000003</v>
      </c>
      <c r="R80" s="6">
        <f t="shared" si="188"/>
        <v>7.2372029999999992</v>
      </c>
      <c r="S80" s="6">
        <f t="shared" si="188"/>
        <v>7.0728619999999989</v>
      </c>
      <c r="T80" s="6">
        <f t="shared" si="188"/>
        <v>8.2437839999999998</v>
      </c>
      <c r="U80" s="6">
        <f t="shared" si="188"/>
        <v>6.7305650000000004</v>
      </c>
      <c r="V80" s="6">
        <f t="shared" si="188"/>
        <v>6.7565390000000001</v>
      </c>
      <c r="W80" s="67">
        <f t="shared" ref="W80" si="189">+SUM(J79:J80)+SUM(I81:I90)</f>
        <v>5.2145510000000002</v>
      </c>
      <c r="X80" s="67">
        <f t="shared" ref="X80" si="190">+SUM(K79:K80)+SUM(J81:J90)</f>
        <v>5.5439990000000003</v>
      </c>
      <c r="Y80" s="78">
        <f>+X80/W80-1</f>
        <v>6.3178593900030888E-2</v>
      </c>
      <c r="Z80" s="7">
        <f>+POWER(X80/S80,0.2)-1</f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>+K81/J81-1</f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191">+SUM(C79:C81)+SUM(B82:B90)</f>
        <v>10.805010000000001</v>
      </c>
      <c r="Q81" s="6">
        <f t="shared" si="191"/>
        <v>8.3452780000000004</v>
      </c>
      <c r="R81" s="6">
        <f t="shared" si="191"/>
        <v>7.4191139999999987</v>
      </c>
      <c r="S81" s="6">
        <f t="shared" si="191"/>
        <v>6.9434479999999992</v>
      </c>
      <c r="T81" s="6">
        <f t="shared" si="191"/>
        <v>8.4110200000000006</v>
      </c>
      <c r="U81" s="6">
        <f t="shared" si="191"/>
        <v>6.3880810000000006</v>
      </c>
      <c r="V81" s="6">
        <f t="shared" si="191"/>
        <v>6.9092389999999995</v>
      </c>
      <c r="W81" s="67">
        <f t="shared" si="191"/>
        <v>5.3590900000000001</v>
      </c>
      <c r="X81" s="67">
        <f t="shared" ref="X81" si="192">+SUM(K79:K81)+SUM(J82:J90)</f>
        <v>5.2533189999999994</v>
      </c>
      <c r="Y81" s="78">
        <f>+X81/W81-1</f>
        <v>-1.9736746350593193E-2</v>
      </c>
      <c r="Z81" s="7">
        <f>+POWER(X81/S81,0.2)-1</f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/>
      <c r="L82" s="7"/>
      <c r="M82" s="2"/>
      <c r="N82" s="42" t="s">
        <v>1</v>
      </c>
      <c r="O82" s="6">
        <f>+SUM('[1]EXP TOTAL VINO PAIS'!AD163:AD174)/1000000</f>
        <v>11.557632</v>
      </c>
      <c r="P82" s="6">
        <f t="shared" ref="P82:V82" si="193">+SUM(C79:C82)+SUM(B83:B90)</f>
        <v>10.371293</v>
      </c>
      <c r="Q82" s="6">
        <f t="shared" si="193"/>
        <v>8.3273290000000006</v>
      </c>
      <c r="R82" s="6">
        <f t="shared" si="193"/>
        <v>7.1415439999999997</v>
      </c>
      <c r="S82" s="6">
        <f t="shared" si="193"/>
        <v>7.0519639999999999</v>
      </c>
      <c r="T82" s="6">
        <f t="shared" si="193"/>
        <v>8.4507490000000001</v>
      </c>
      <c r="U82" s="6">
        <f t="shared" si="193"/>
        <v>6.5469000000000008</v>
      </c>
      <c r="V82" s="6">
        <f t="shared" si="193"/>
        <v>6.422784</v>
      </c>
      <c r="W82" s="67">
        <f t="shared" ref="W82" si="194">+SUM(J79:J82)+SUM(I83:I90)</f>
        <v>5.438072</v>
      </c>
      <c r="X82" s="37"/>
      <c r="Y82" s="78"/>
      <c r="Z82" s="7"/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/>
      <c r="L83" s="7"/>
      <c r="M83" s="2"/>
      <c r="N83" s="42" t="s">
        <v>2</v>
      </c>
      <c r="O83" s="6">
        <f>+SUM('[1]EXP TOTAL VINO PAIS'!AD164:AD175)/1000000</f>
        <v>11.767833</v>
      </c>
      <c r="P83" s="6">
        <f t="shared" ref="P83:V83" si="195">+SUM(C79:C83)+SUM(B84:B90)</f>
        <v>10.147733000000001</v>
      </c>
      <c r="Q83" s="6">
        <f t="shared" si="195"/>
        <v>8.1328440000000004</v>
      </c>
      <c r="R83" s="6">
        <f t="shared" si="195"/>
        <v>7.28186</v>
      </c>
      <c r="S83" s="6">
        <f t="shared" si="195"/>
        <v>7.3629149999999992</v>
      </c>
      <c r="T83" s="6">
        <f t="shared" si="195"/>
        <v>8.3305530000000001</v>
      </c>
      <c r="U83" s="6">
        <f t="shared" si="195"/>
        <v>6.3753810000000009</v>
      </c>
      <c r="V83" s="6">
        <f t="shared" si="195"/>
        <v>6.2974899999999998</v>
      </c>
      <c r="W83" s="67">
        <f t="shared" ref="W83" si="196">+SUM(J79:J83)+SUM(I84:I90)</f>
        <v>5.6510949999999998</v>
      </c>
      <c r="X83" s="37"/>
      <c r="Y83" s="78"/>
      <c r="Z83" s="7"/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/>
      <c r="L84" s="7"/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197">+SUM(C79:C84)+SUM(B85:B90)</f>
        <v>10.287271</v>
      </c>
      <c r="Q84" s="6">
        <f t="shared" si="197"/>
        <v>7.7154389999999999</v>
      </c>
      <c r="R84" s="6">
        <f t="shared" si="197"/>
        <v>7.2936429999999994</v>
      </c>
      <c r="S84" s="6">
        <f t="shared" si="197"/>
        <v>7.726216</v>
      </c>
      <c r="T84" s="6">
        <f t="shared" si="197"/>
        <v>7.7901710000000008</v>
      </c>
      <c r="U84" s="6">
        <f t="shared" si="197"/>
        <v>6.8763100000000001</v>
      </c>
      <c r="V84" s="6">
        <f t="shared" si="197"/>
        <v>5.9215699999999991</v>
      </c>
      <c r="W84" s="67">
        <f t="shared" ref="W84" si="198">+SUM(J79:J84)+SUM(I85:I90)</f>
        <v>5.5532360000000001</v>
      </c>
      <c r="X84" s="67"/>
      <c r="Y84" s="78"/>
      <c r="Z84" s="7"/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/>
      <c r="L85" s="7"/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199">+SUM(C79:C85)+SUM(B86:B90)</f>
        <v>9.9854570000000002</v>
      </c>
      <c r="Q85" s="6">
        <f t="shared" si="199"/>
        <v>7.6763570000000003</v>
      </c>
      <c r="R85" s="6">
        <f t="shared" si="199"/>
        <v>7.2312589999999997</v>
      </c>
      <c r="S85" s="6">
        <f t="shared" si="199"/>
        <v>7.8886130000000003</v>
      </c>
      <c r="T85" s="6">
        <f t="shared" si="199"/>
        <v>7.732107000000001</v>
      </c>
      <c r="U85" s="6">
        <f t="shared" si="199"/>
        <v>6.548737</v>
      </c>
      <c r="V85" s="6">
        <f t="shared" si="199"/>
        <v>5.898676</v>
      </c>
      <c r="W85" s="67">
        <f t="shared" ref="W85" si="200">+SUM(J79:J85)+SUM(I86:I90)</f>
        <v>5.9467650000000001</v>
      </c>
      <c r="X85" s="67"/>
      <c r="Y85" s="78"/>
      <c r="Z85" s="7"/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/>
      <c r="L86" s="7"/>
      <c r="M86" s="2"/>
      <c r="N86" s="42" t="s">
        <v>5</v>
      </c>
      <c r="O86" s="6">
        <f>+SUM('[1]EXP TOTAL VINO PAIS'!AD167:AD178)/1000000</f>
        <v>10.541831</v>
      </c>
      <c r="P86" s="6">
        <f t="shared" ref="P86:V86" si="201">+SUM(C79:C86)+SUM(B87:B90)</f>
        <v>9.8166740000000008</v>
      </c>
      <c r="Q86" s="6">
        <f t="shared" si="201"/>
        <v>7.5276130000000006</v>
      </c>
      <c r="R86" s="6">
        <f t="shared" si="201"/>
        <v>7.3040969999999996</v>
      </c>
      <c r="S86" s="6">
        <f t="shared" si="201"/>
        <v>8.3746770000000001</v>
      </c>
      <c r="T86" s="6">
        <f t="shared" si="201"/>
        <v>7.1598780000000009</v>
      </c>
      <c r="U86" s="6">
        <f t="shared" si="201"/>
        <v>6.7133840000000005</v>
      </c>
      <c r="V86" s="6">
        <f t="shared" si="201"/>
        <v>5.7279689999999999</v>
      </c>
      <c r="W86" s="67">
        <f t="shared" ref="W86" si="202">+SUM(J79:J86)+SUM(I87:I90)</f>
        <v>5.838686</v>
      </c>
      <c r="X86" s="67"/>
      <c r="Y86" s="78"/>
      <c r="Z86" s="7"/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/>
      <c r="L87" s="7"/>
      <c r="M87" s="2"/>
      <c r="N87" s="42" t="s">
        <v>6</v>
      </c>
      <c r="O87" s="6">
        <f>+SUM('[1]EXP TOTAL VINO PAIS'!AD168:AD179)/1000000</f>
        <v>10.997249</v>
      </c>
      <c r="P87" s="6">
        <f t="shared" ref="P87:V87" si="203">+SUM(C79:C87)+SUM(B88:B90)</f>
        <v>9.4984269999999995</v>
      </c>
      <c r="Q87" s="6">
        <f t="shared" si="203"/>
        <v>7.3433279999999996</v>
      </c>
      <c r="R87" s="6">
        <f t="shared" si="203"/>
        <v>7.2016590000000003</v>
      </c>
      <c r="S87" s="6">
        <f t="shared" si="203"/>
        <v>8.6998059999999988</v>
      </c>
      <c r="T87" s="6">
        <f t="shared" si="203"/>
        <v>6.8126750000000005</v>
      </c>
      <c r="U87" s="6">
        <f t="shared" si="203"/>
        <v>7.0118299999999998</v>
      </c>
      <c r="V87" s="6">
        <f t="shared" si="203"/>
        <v>5.6272140000000004</v>
      </c>
      <c r="W87" s="67">
        <f t="shared" ref="W87" si="204">+SUM(J79:J87)+SUM(I88:I90)</f>
        <v>5.427168</v>
      </c>
      <c r="X87" s="67"/>
      <c r="Y87" s="78"/>
      <c r="Z87" s="7"/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/>
      <c r="L88" s="7"/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05">+SUM(C79:C88)+SUM(B89:B90)</f>
        <v>9.2416669999999996</v>
      </c>
      <c r="Q88" s="6">
        <f t="shared" si="205"/>
        <v>7.2402930000000003</v>
      </c>
      <c r="R88" s="6">
        <f t="shared" si="205"/>
        <v>7.1269420000000006</v>
      </c>
      <c r="S88" s="6">
        <f t="shared" si="205"/>
        <v>8.5743919999999996</v>
      </c>
      <c r="T88" s="6">
        <f t="shared" si="205"/>
        <v>6.5485650000000009</v>
      </c>
      <c r="U88" s="6">
        <f t="shared" si="205"/>
        <v>7.407915</v>
      </c>
      <c r="V88" s="6">
        <f t="shared" si="205"/>
        <v>5.2189510000000006</v>
      </c>
      <c r="W88" s="67">
        <f t="shared" ref="W88" si="206">+SUM(J79:J88)+SUM(I89:I90)</f>
        <v>5.7030529999999997</v>
      </c>
      <c r="X88" s="67"/>
      <c r="Y88" s="78"/>
      <c r="Z88" s="7"/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07">+SUM(C79:C89)+SUM(B90)</f>
        <v>8.6873930000000001</v>
      </c>
      <c r="Q89" s="6">
        <f t="shared" si="207"/>
        <v>7.5027190000000008</v>
      </c>
      <c r="R89" s="6">
        <f t="shared" si="207"/>
        <v>6.8169849999999999</v>
      </c>
      <c r="S89" s="6">
        <f t="shared" si="207"/>
        <v>8.772926</v>
      </c>
      <c r="T89" s="6">
        <f t="shared" si="207"/>
        <v>6.4887840000000008</v>
      </c>
      <c r="U89" s="6">
        <f t="shared" si="207"/>
        <v>7.2284509999999997</v>
      </c>
      <c r="V89" s="6">
        <f t="shared" si="207"/>
        <v>5.3183410000000002</v>
      </c>
      <c r="W89" s="67">
        <f t="shared" ref="W89" si="208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09">+SUM(C79:C90)</f>
        <v>8.4700950000000006</v>
      </c>
      <c r="Q90" s="6">
        <f t="shared" si="209"/>
        <v>7.8241690000000004</v>
      </c>
      <c r="R90" s="6">
        <f t="shared" si="209"/>
        <v>6.9015409999999999</v>
      </c>
      <c r="S90" s="6">
        <f t="shared" si="209"/>
        <v>8.4574020000000001</v>
      </c>
      <c r="T90" s="6">
        <f t="shared" si="209"/>
        <v>6.5491940000000008</v>
      </c>
      <c r="U90" s="6">
        <f t="shared" si="209"/>
        <v>7.0695689999999995</v>
      </c>
      <c r="V90" s="6">
        <f t="shared" si="209"/>
        <v>5.2291460000000001</v>
      </c>
      <c r="W90" s="67">
        <f t="shared" ref="W90" si="210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11">SUM(B79:B90)</f>
        <v>10.887117999999999</v>
      </c>
      <c r="C91" s="159">
        <f t="shared" si="211"/>
        <v>8.4700950000000006</v>
      </c>
      <c r="D91" s="159">
        <f t="shared" si="211"/>
        <v>7.8241690000000004</v>
      </c>
      <c r="E91" s="159">
        <f t="shared" si="211"/>
        <v>6.9015409999999999</v>
      </c>
      <c r="F91" s="159">
        <f t="shared" si="211"/>
        <v>8.4574020000000001</v>
      </c>
      <c r="G91" s="159">
        <f t="shared" si="211"/>
        <v>6.5491940000000008</v>
      </c>
      <c r="H91" s="159">
        <f t="shared" ref="H91:I91" si="212">SUM(H79:H90)</f>
        <v>7.0695689999999995</v>
      </c>
      <c r="I91" s="159">
        <f t="shared" si="212"/>
        <v>5.2291460000000001</v>
      </c>
      <c r="J91" s="216">
        <f t="shared" ref="J91" si="213">SUM(J79:J90)</f>
        <v>5.6482899999999994</v>
      </c>
      <c r="K91" s="216"/>
      <c r="L91" s="56"/>
      <c r="M91" s="3"/>
      <c r="N91" s="43" t="s">
        <v>14</v>
      </c>
      <c r="O91" s="46">
        <f t="shared" ref="O91" si="214">+AVERAGE(O79:O90)</f>
        <v>11.094207499999998</v>
      </c>
      <c r="P91" s="46">
        <f>+AVERAGE(P79:P90)</f>
        <v>9.9419169166666688</v>
      </c>
      <c r="Q91" s="46">
        <f t="shared" ref="Q91:X91" si="215">+AVERAGE(Q79:Q90)</f>
        <v>7.917875333333332</v>
      </c>
      <c r="R91" s="46">
        <f t="shared" si="215"/>
        <v>7.1965962499999989</v>
      </c>
      <c r="S91" s="46">
        <f t="shared" si="215"/>
        <v>7.824756916666666</v>
      </c>
      <c r="T91" s="46">
        <f t="shared" si="215"/>
        <v>7.5571869999999999</v>
      </c>
      <c r="U91" s="46">
        <f t="shared" si="215"/>
        <v>6.8110268333333339</v>
      </c>
      <c r="V91" s="46">
        <f t="shared" si="215"/>
        <v>6.0276788333333338</v>
      </c>
      <c r="W91" s="68">
        <f t="shared" si="215"/>
        <v>5.5327678333333337</v>
      </c>
      <c r="X91" s="47">
        <f t="shared" si="215"/>
        <v>5.4853916666666676</v>
      </c>
      <c r="Y91" s="79">
        <f>+X91/W91-1</f>
        <v>-8.5628329425352367E-3</v>
      </c>
      <c r="Z91" s="75">
        <f>+POWER(X91/S91,0.2)-1</f>
        <v>-6.8576142957669228E-2</v>
      </c>
    </row>
    <row r="92" spans="1:27" ht="25.5" x14ac:dyDescent="0.25">
      <c r="A92" s="57" t="s">
        <v>15</v>
      </c>
      <c r="B92" s="58">
        <f t="shared" ref="B92:G92" si="216">+B91/B$181</f>
        <v>4.1993371776632857E-2</v>
      </c>
      <c r="C92" s="58">
        <f t="shared" si="216"/>
        <v>3.7738977108662072E-2</v>
      </c>
      <c r="D92" s="58">
        <f t="shared" si="216"/>
        <v>2.852153051086247E-2</v>
      </c>
      <c r="E92" s="58">
        <f t="shared" si="216"/>
        <v>2.2638344400186448E-2</v>
      </c>
      <c r="F92" s="58">
        <f t="shared" si="216"/>
        <v>2.163782168554083E-2</v>
      </c>
      <c r="G92" s="58">
        <f t="shared" si="216"/>
        <v>2.2668183612067818E-2</v>
      </c>
      <c r="H92" s="58">
        <f t="shared" ref="H92" si="217">+H91/H$181</f>
        <v>2.8646198027761239E-2</v>
      </c>
      <c r="I92" s="58">
        <f t="shared" ref="I92:J92" si="218">+I91/I$360</f>
        <v>8.0177400386692976E-3</v>
      </c>
      <c r="J92" s="189">
        <f t="shared" si="218"/>
        <v>8.2914938749146742E-3</v>
      </c>
      <c r="K92" s="234"/>
      <c r="L92" s="59"/>
      <c r="M92" s="3"/>
      <c r="N92" s="44" t="s">
        <v>15</v>
      </c>
      <c r="O92" s="48">
        <f t="shared" ref="O92:X92" si="219">+O91/O$181</f>
        <v>4.2846607405689394E-2</v>
      </c>
      <c r="P92" s="48">
        <f t="shared" si="219"/>
        <v>4.1329022536795143E-2</v>
      </c>
      <c r="Q92" s="48">
        <f t="shared" si="219"/>
        <v>3.3599920902441703E-2</v>
      </c>
      <c r="R92" s="48">
        <f t="shared" si="219"/>
        <v>2.4290318144449433E-2</v>
      </c>
      <c r="S92" s="48">
        <f t="shared" si="219"/>
        <v>2.1006067582168182E-2</v>
      </c>
      <c r="T92" s="48">
        <f t="shared" si="219"/>
        <v>2.3303082224116461E-2</v>
      </c>
      <c r="U92" s="48">
        <f t="shared" si="219"/>
        <v>2.5167933259914611E-2</v>
      </c>
      <c r="V92" s="48">
        <f t="shared" si="219"/>
        <v>2.872464281696353E-2</v>
      </c>
      <c r="W92" s="69">
        <f t="shared" si="219"/>
        <v>2.9670520679832887E-2</v>
      </c>
      <c r="X92" s="72">
        <f t="shared" si="219"/>
        <v>2.8267440841844915E-2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20">+D91/C91-1</f>
        <v>-7.6259593310346596E-2</v>
      </c>
      <c r="E93" s="62">
        <f t="shared" si="220"/>
        <v>-0.11792025453437938</v>
      </c>
      <c r="F93" s="62">
        <f t="shared" si="220"/>
        <v>0.22543675390756945</v>
      </c>
      <c r="G93" s="62">
        <f t="shared" si="220"/>
        <v>-0.22562578910166498</v>
      </c>
      <c r="H93" s="62">
        <f t="shared" si="220"/>
        <v>7.9456342261352786E-2</v>
      </c>
      <c r="I93" s="62">
        <f t="shared" si="220"/>
        <v>-0.26033029736324798</v>
      </c>
      <c r="J93" s="190">
        <f t="shared" si="220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21">+Q91/P91-1</f>
        <v>-0.20358665238292484</v>
      </c>
      <c r="R93" s="50">
        <f t="shared" ref="R93" si="222">+R91/Q91-1</f>
        <v>-9.1095029028410268E-2</v>
      </c>
      <c r="S93" s="50">
        <f t="shared" ref="S93" si="223">+S91/R91-1</f>
        <v>8.7285800793210688E-2</v>
      </c>
      <c r="T93" s="50">
        <f t="shared" ref="T93" si="224">+T91/S91-1</f>
        <v>-3.4195300827396191E-2</v>
      </c>
      <c r="U93" s="50">
        <f t="shared" ref="U93" si="225">+U91/T91-1</f>
        <v>-9.8735173109606222E-2</v>
      </c>
      <c r="V93" s="50">
        <f t="shared" ref="V93" si="226">+V91/U91-1</f>
        <v>-0.11501173305708845</v>
      </c>
      <c r="W93" s="70">
        <f t="shared" ref="W93" si="227">+W91/V91-1</f>
        <v>-8.2106398446964435E-2</v>
      </c>
      <c r="X93" s="73">
        <f t="shared" ref="X93" si="228">+X91/W91-1</f>
        <v>-8.5628329425352367E-3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25" t="s">
        <v>129</v>
      </c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7"/>
      <c r="M95" s="2"/>
      <c r="N95" s="325" t="s">
        <v>130</v>
      </c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7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229">+C96+1</f>
        <v>2018</v>
      </c>
      <c r="E96" s="39">
        <f t="shared" ref="E96" si="230">+D96+1</f>
        <v>2019</v>
      </c>
      <c r="F96" s="39">
        <f t="shared" ref="F96" si="231">+E96+1</f>
        <v>2020</v>
      </c>
      <c r="G96" s="39">
        <f t="shared" ref="G96:H96" si="232">+F96+1</f>
        <v>2021</v>
      </c>
      <c r="H96" s="39">
        <f t="shared" si="232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233">+P96+1</f>
        <v>2018</v>
      </c>
      <c r="R96" s="64">
        <f t="shared" ref="R96" si="234">+Q96+1</f>
        <v>2019</v>
      </c>
      <c r="S96" s="64">
        <f t="shared" ref="S96" si="235">+R96+1</f>
        <v>2020</v>
      </c>
      <c r="T96" s="64">
        <f t="shared" ref="T96" si="236">+S96+1</f>
        <v>2021</v>
      </c>
      <c r="U96" s="64">
        <f t="shared" ref="U96" si="237">+T96+1</f>
        <v>2022</v>
      </c>
      <c r="V96" s="64">
        <f t="shared" ref="V96" si="238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239">+SUM(C97)+SUM(B98:B108)</f>
        <v>5.6750400000000001</v>
      </c>
      <c r="Q97" s="6">
        <f t="shared" si="239"/>
        <v>4.9161209999999995</v>
      </c>
      <c r="R97" s="6">
        <f t="shared" si="239"/>
        <v>4.791353</v>
      </c>
      <c r="S97" s="6">
        <f t="shared" si="239"/>
        <v>19.777701</v>
      </c>
      <c r="T97" s="6">
        <f t="shared" si="239"/>
        <v>31.117549999999998</v>
      </c>
      <c r="U97" s="6">
        <f t="shared" si="239"/>
        <v>9.6322840000000003</v>
      </c>
      <c r="V97" s="6">
        <f t="shared" si="239"/>
        <v>2.9943390000000001</v>
      </c>
      <c r="W97" s="67">
        <f t="shared" si="239"/>
        <v>2.2042139999999999</v>
      </c>
      <c r="X97" s="37">
        <f t="shared" si="239"/>
        <v>1.4819590000000002</v>
      </c>
      <c r="Y97" s="78">
        <f>+X97/W97-1</f>
        <v>-0.32767009010921788</v>
      </c>
      <c r="Z97" s="7">
        <f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>+K98/J98-1</f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240">+SUM(C97:C98)+SUM(B99:B108)</f>
        <v>5.5822219999999998</v>
      </c>
      <c r="Q98" s="6">
        <f t="shared" si="240"/>
        <v>4.9698029999999997</v>
      </c>
      <c r="R98" s="6">
        <f t="shared" si="240"/>
        <v>4.687424</v>
      </c>
      <c r="S98" s="6">
        <f t="shared" si="240"/>
        <v>21.337021</v>
      </c>
      <c r="T98" s="6">
        <f t="shared" si="240"/>
        <v>30.628175999999996</v>
      </c>
      <c r="U98" s="6">
        <f t="shared" si="240"/>
        <v>8.6110559999999996</v>
      </c>
      <c r="V98" s="6">
        <f t="shared" si="240"/>
        <v>2.8628369999999999</v>
      </c>
      <c r="W98" s="67">
        <f t="shared" ref="W98" si="241">+SUM(J97:J98)+SUM(I99:I108)</f>
        <v>2.21306</v>
      </c>
      <c r="X98" s="67">
        <f t="shared" ref="X98" si="242">+SUM(K97:K98)+SUM(J99:J108)</f>
        <v>1.455022</v>
      </c>
      <c r="Y98" s="78">
        <f>+X98/W98-1</f>
        <v>-0.3425293485038815</v>
      </c>
      <c r="Z98" s="7">
        <f>+POWER(X98/S98,0.2)-1</f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>+K99/J99-1</f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243">+SUM(C97:C99)+SUM(B100:B108)</f>
        <v>5.5405129999999998</v>
      </c>
      <c r="Q99" s="6">
        <f t="shared" si="243"/>
        <v>5.1672849999999997</v>
      </c>
      <c r="R99" s="6">
        <f t="shared" si="243"/>
        <v>4.5129969999999995</v>
      </c>
      <c r="S99" s="6">
        <f t="shared" si="243"/>
        <v>21.194238000000002</v>
      </c>
      <c r="T99" s="6">
        <f t="shared" si="243"/>
        <v>32.619371999999998</v>
      </c>
      <c r="U99" s="6">
        <f t="shared" si="243"/>
        <v>6.7369669999999999</v>
      </c>
      <c r="V99" s="6">
        <f t="shared" si="243"/>
        <v>2.815814</v>
      </c>
      <c r="W99" s="67">
        <f t="shared" si="243"/>
        <v>2.0806249999999999</v>
      </c>
      <c r="X99" s="67">
        <f t="shared" ref="X99" si="244">+SUM(K97:K99)+SUM(J100:J108)</f>
        <v>1.4776330000000002</v>
      </c>
      <c r="Y99" s="78">
        <f>+X99/W99-1</f>
        <v>-0.2898129167918293</v>
      </c>
      <c r="Z99" s="7">
        <f>+POWER(X99/S99,0.2)-1</f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/>
      <c r="L100" s="7"/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245">+SUM(C97:C100)+SUM(B101:B108)</f>
        <v>5.4939830000000001</v>
      </c>
      <c r="Q100" s="6">
        <f t="shared" si="245"/>
        <v>5.1112970000000004</v>
      </c>
      <c r="R100" s="6">
        <f t="shared" si="245"/>
        <v>4.4539840000000002</v>
      </c>
      <c r="S100" s="6">
        <f t="shared" si="245"/>
        <v>25.335936</v>
      </c>
      <c r="T100" s="6">
        <f t="shared" si="245"/>
        <v>28.427854999999997</v>
      </c>
      <c r="U100" s="6">
        <f t="shared" si="245"/>
        <v>6.7240789999999997</v>
      </c>
      <c r="V100" s="6">
        <f t="shared" si="245"/>
        <v>2.791423</v>
      </c>
      <c r="W100" s="67">
        <f t="shared" ref="W100" si="246">+SUM(J97:J100)+SUM(I101:I108)</f>
        <v>2.0132279999999998</v>
      </c>
      <c r="X100" s="37"/>
      <c r="Y100" s="78"/>
      <c r="Z100" s="7"/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/>
      <c r="L101" s="7"/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247">+SUM(C97:C101)+SUM(B102:B108)</f>
        <v>5.3864609999999997</v>
      </c>
      <c r="Q101" s="6">
        <f t="shared" si="247"/>
        <v>5.0037650000000005</v>
      </c>
      <c r="R101" s="6">
        <f t="shared" si="247"/>
        <v>4.6302789999999998</v>
      </c>
      <c r="S101" s="6">
        <f t="shared" si="247"/>
        <v>28.860624000000001</v>
      </c>
      <c r="T101" s="6">
        <f t="shared" si="247"/>
        <v>24.831753999999997</v>
      </c>
      <c r="U101" s="6">
        <f t="shared" si="247"/>
        <v>6.5741829999999997</v>
      </c>
      <c r="V101" s="6">
        <f t="shared" si="247"/>
        <v>2.6852080000000003</v>
      </c>
      <c r="W101" s="67">
        <f t="shared" ref="W101" si="248">+SUM(J97:J101)+SUM(I102:I108)</f>
        <v>2.0299750000000003</v>
      </c>
      <c r="X101" s="37"/>
      <c r="Y101" s="78"/>
      <c r="Z101" s="7"/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/>
      <c r="L102" s="7"/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249">+SUM(C97:C102)+SUM(B103:B108)</f>
        <v>5.3951010000000004</v>
      </c>
      <c r="Q102" s="6">
        <f t="shared" si="249"/>
        <v>4.8849610000000006</v>
      </c>
      <c r="R102" s="6">
        <f t="shared" si="249"/>
        <v>4.7227420000000002</v>
      </c>
      <c r="S102" s="6">
        <f t="shared" si="249"/>
        <v>32.416344000000002</v>
      </c>
      <c r="T102" s="6">
        <f t="shared" si="249"/>
        <v>21.419619000000001</v>
      </c>
      <c r="U102" s="6">
        <f t="shared" si="249"/>
        <v>6.3455310000000003</v>
      </c>
      <c r="V102" s="6">
        <f t="shared" si="249"/>
        <v>2.6776949999999999</v>
      </c>
      <c r="W102" s="67">
        <f t="shared" ref="W102" si="250">+SUM(J97:J102)+SUM(I103:I108)</f>
        <v>1.8769780000000003</v>
      </c>
      <c r="X102" s="67"/>
      <c r="Y102" s="78"/>
      <c r="Z102" s="7"/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/>
      <c r="L103" s="7"/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251">+SUM(C97:C103)+SUM(B104:B108)</f>
        <v>5.3190779999999993</v>
      </c>
      <c r="Q103" s="6">
        <f t="shared" si="251"/>
        <v>4.8332960000000007</v>
      </c>
      <c r="R103" s="6">
        <f t="shared" si="251"/>
        <v>4.7650039999999994</v>
      </c>
      <c r="S103" s="6">
        <f t="shared" si="251"/>
        <v>34.372225</v>
      </c>
      <c r="T103" s="6">
        <f t="shared" si="251"/>
        <v>19.721806000000001</v>
      </c>
      <c r="U103" s="6">
        <f t="shared" si="251"/>
        <v>5.9483940000000004</v>
      </c>
      <c r="V103" s="6">
        <f t="shared" si="251"/>
        <v>2.6126170000000002</v>
      </c>
      <c r="W103" s="67">
        <f t="shared" ref="W103" si="252">+SUM(J97:J103)+SUM(I104:I108)</f>
        <v>1.8538619999999999</v>
      </c>
      <c r="X103" s="67"/>
      <c r="Y103" s="78"/>
      <c r="Z103" s="7"/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/>
      <c r="L104" s="7"/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253">+SUM(C97:C104)+SUM(B105:B108)</f>
        <v>5.1697299999999995</v>
      </c>
      <c r="Q104" s="6">
        <f t="shared" si="253"/>
        <v>4.9356439999999999</v>
      </c>
      <c r="R104" s="6">
        <f t="shared" si="253"/>
        <v>6.0883709999999995</v>
      </c>
      <c r="S104" s="6">
        <f t="shared" si="253"/>
        <v>36.086154000000001</v>
      </c>
      <c r="T104" s="6">
        <f t="shared" si="253"/>
        <v>16.653506999999998</v>
      </c>
      <c r="U104" s="6">
        <f t="shared" si="253"/>
        <v>5.8793939999999996</v>
      </c>
      <c r="V104" s="6">
        <f t="shared" si="253"/>
        <v>2.3962279999999998</v>
      </c>
      <c r="W104" s="67">
        <f t="shared" ref="W104" si="254">+SUM(J97:J104)+SUM(I105:I108)</f>
        <v>1.780907</v>
      </c>
      <c r="X104" s="67"/>
      <c r="Y104" s="78"/>
      <c r="Z104" s="7"/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/>
      <c r="L105" s="7"/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255">+SUM(C97:C105)+SUM(B106:B108)</f>
        <v>5.0652200000000001</v>
      </c>
      <c r="Q105" s="6">
        <f t="shared" si="255"/>
        <v>5.0036740000000002</v>
      </c>
      <c r="R105" s="6">
        <f t="shared" si="255"/>
        <v>8.3171229999999987</v>
      </c>
      <c r="S105" s="6">
        <f t="shared" si="255"/>
        <v>33.690564999999999</v>
      </c>
      <c r="T105" s="6">
        <f t="shared" si="255"/>
        <v>18.248182</v>
      </c>
      <c r="U105" s="6">
        <f t="shared" si="255"/>
        <v>4.2907200000000003</v>
      </c>
      <c r="V105" s="6">
        <f t="shared" si="255"/>
        <v>2.2885469999999999</v>
      </c>
      <c r="W105" s="67">
        <f t="shared" ref="W105" si="256">+SUM(J97:J105)+SUM(I106:I108)</f>
        <v>1.7906939999999998</v>
      </c>
      <c r="X105" s="67"/>
      <c r="Y105" s="78"/>
      <c r="Z105" s="7"/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257">+SUM(C97:C106)+SUM(B107:B108)</f>
        <v>4.9824479999999998</v>
      </c>
      <c r="Q106" s="6">
        <f t="shared" si="257"/>
        <v>5.0406810000000002</v>
      </c>
      <c r="R106" s="6">
        <f t="shared" si="257"/>
        <v>11.554966999999998</v>
      </c>
      <c r="S106" s="6">
        <f t="shared" si="257"/>
        <v>32.961357999999997</v>
      </c>
      <c r="T106" s="6">
        <f t="shared" si="257"/>
        <v>15.825886999999998</v>
      </c>
      <c r="U106" s="6">
        <f t="shared" si="257"/>
        <v>3.9841880000000001</v>
      </c>
      <c r="V106" s="6">
        <f t="shared" si="257"/>
        <v>2.2191920000000001</v>
      </c>
      <c r="W106" s="67">
        <f t="shared" ref="W106" si="258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259">+SUM(C97:C107)+SUM(B108)</f>
        <v>5.0343980000000004</v>
      </c>
      <c r="Q107" s="6">
        <f t="shared" si="259"/>
        <v>4.7535370000000006</v>
      </c>
      <c r="R107" s="6">
        <f t="shared" si="259"/>
        <v>12.663188</v>
      </c>
      <c r="S107" s="6">
        <f t="shared" si="259"/>
        <v>36.929048999999999</v>
      </c>
      <c r="T107" s="6">
        <f t="shared" si="259"/>
        <v>10.909336999999999</v>
      </c>
      <c r="U107" s="6">
        <f t="shared" si="259"/>
        <v>3.6926239999999999</v>
      </c>
      <c r="V107" s="6">
        <f t="shared" si="259"/>
        <v>2.226537</v>
      </c>
      <c r="W107" s="67">
        <f t="shared" ref="W107" si="260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261">+SUM(C97:C108)</f>
        <v>4.8864700000000001</v>
      </c>
      <c r="Q108" s="6">
        <f t="shared" si="261"/>
        <v>4.7602240000000009</v>
      </c>
      <c r="R108" s="6">
        <f t="shared" si="261"/>
        <v>14.598606999999999</v>
      </c>
      <c r="S108" s="6">
        <f t="shared" si="261"/>
        <v>36.394457000000003</v>
      </c>
      <c r="T108" s="6">
        <f t="shared" si="261"/>
        <v>9.679822999999999</v>
      </c>
      <c r="U108" s="6">
        <f t="shared" si="261"/>
        <v>3.0988709999999999</v>
      </c>
      <c r="V108" s="6">
        <f t="shared" si="261"/>
        <v>2.214941</v>
      </c>
      <c r="W108" s="67">
        <f t="shared" ref="W108" si="262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263">SUM(B97:B108)</f>
        <v>5.7685900000000006</v>
      </c>
      <c r="C109" s="159">
        <f t="shared" si="263"/>
        <v>4.8864700000000001</v>
      </c>
      <c r="D109" s="159">
        <f t="shared" si="263"/>
        <v>4.7602240000000009</v>
      </c>
      <c r="E109" s="159">
        <f t="shared" si="263"/>
        <v>14.598606999999999</v>
      </c>
      <c r="F109" s="159">
        <f t="shared" si="263"/>
        <v>36.394457000000003</v>
      </c>
      <c r="G109" s="159">
        <f t="shared" si="263"/>
        <v>9.679822999999999</v>
      </c>
      <c r="H109" s="159">
        <f t="shared" ref="H109:I109" si="264">SUM(H97:H108)</f>
        <v>3.0988709999999999</v>
      </c>
      <c r="I109" s="159">
        <f t="shared" si="264"/>
        <v>2.214941</v>
      </c>
      <c r="J109" s="216">
        <f t="shared" ref="J109" si="265">SUM(J97:J108)</f>
        <v>1.4783600000000001</v>
      </c>
      <c r="K109" s="216"/>
      <c r="L109" s="56"/>
      <c r="M109" s="3"/>
      <c r="N109" s="43" t="s">
        <v>14</v>
      </c>
      <c r="O109" s="46">
        <f t="shared" ref="O109" si="266">+AVERAGE(O97:O108)</f>
        <v>5.3203629166666673</v>
      </c>
      <c r="P109" s="46">
        <f>+AVERAGE(P97:P108)</f>
        <v>5.2942220000000004</v>
      </c>
      <c r="Q109" s="46">
        <f t="shared" ref="Q109:X109" si="267">+AVERAGE(Q97:Q108)</f>
        <v>4.9483573333333331</v>
      </c>
      <c r="R109" s="46">
        <f t="shared" si="267"/>
        <v>7.1488365833333338</v>
      </c>
      <c r="S109" s="46">
        <f t="shared" si="267"/>
        <v>29.946305999999996</v>
      </c>
      <c r="T109" s="46">
        <f t="shared" si="267"/>
        <v>21.673572333333329</v>
      </c>
      <c r="U109" s="46">
        <f t="shared" si="267"/>
        <v>5.9598575833333323</v>
      </c>
      <c r="V109" s="46">
        <f t="shared" si="267"/>
        <v>2.5654481666666666</v>
      </c>
      <c r="W109" s="68">
        <f t="shared" si="267"/>
        <v>1.8877987499999997</v>
      </c>
      <c r="X109" s="47">
        <f t="shared" si="267"/>
        <v>1.471538</v>
      </c>
      <c r="Y109" s="79">
        <f>+X109/W109-1</f>
        <v>-0.22050059626324037</v>
      </c>
      <c r="Z109" s="75">
        <f>+POWER(X109/S109,0.2)-1</f>
        <v>-0.45262413475341456</v>
      </c>
    </row>
    <row r="110" spans="1:27" ht="25.5" x14ac:dyDescent="0.25">
      <c r="A110" s="57" t="s">
        <v>15</v>
      </c>
      <c r="B110" s="58">
        <f t="shared" ref="B110:G110" si="268">+B109/B$181</f>
        <v>2.2250382929345173E-2</v>
      </c>
      <c r="C110" s="58">
        <f t="shared" si="268"/>
        <v>2.1771937560578006E-2</v>
      </c>
      <c r="D110" s="58">
        <f t="shared" si="268"/>
        <v>1.735249763323617E-2</v>
      </c>
      <c r="E110" s="58">
        <f t="shared" si="268"/>
        <v>4.788615948655129E-2</v>
      </c>
      <c r="F110" s="58">
        <f t="shared" si="268"/>
        <v>9.3113319067496536E-2</v>
      </c>
      <c r="G110" s="58">
        <f t="shared" si="268"/>
        <v>3.3503970885015326E-2</v>
      </c>
      <c r="H110" s="58">
        <f t="shared" ref="H110" si="269">+H109/H$181</f>
        <v>1.2556758739958051E-2</v>
      </c>
      <c r="I110" s="58">
        <f t="shared" ref="I110:J110" si="270">+I109/I$360</f>
        <v>3.3961226439250718E-3</v>
      </c>
      <c r="J110" s="189">
        <f t="shared" si="270"/>
        <v>2.1701812203195766E-3</v>
      </c>
      <c r="K110" s="234"/>
      <c r="L110" s="59"/>
      <c r="M110" s="3"/>
      <c r="N110" s="44" t="s">
        <v>15</v>
      </c>
      <c r="O110" s="48">
        <f t="shared" ref="O110:X110" si="271">+O109/O$181</f>
        <v>2.0547614703096666E-2</v>
      </c>
      <c r="P110" s="48">
        <f t="shared" si="271"/>
        <v>2.2008333220527226E-2</v>
      </c>
      <c r="Q110" s="48">
        <f t="shared" si="271"/>
        <v>2.0998614905827519E-2</v>
      </c>
      <c r="R110" s="48">
        <f t="shared" si="271"/>
        <v>2.412911728538969E-2</v>
      </c>
      <c r="S110" s="48">
        <f t="shared" si="271"/>
        <v>8.0392801255257967E-2</v>
      </c>
      <c r="T110" s="48">
        <f t="shared" si="271"/>
        <v>6.6831883103329617E-2</v>
      </c>
      <c r="U110" s="48">
        <f t="shared" si="271"/>
        <v>2.2022714278827796E-2</v>
      </c>
      <c r="V110" s="48">
        <f t="shared" si="271"/>
        <v>1.2225532297012271E-2</v>
      </c>
      <c r="W110" s="69">
        <f t="shared" si="271"/>
        <v>1.0123680143197344E-2</v>
      </c>
      <c r="X110" s="72">
        <f t="shared" si="271"/>
        <v>7.58316194890856E-3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272">+D109/C109-1</f>
        <v>-2.5835828317783416E-2</v>
      </c>
      <c r="E111" s="62">
        <f t="shared" ref="E111" si="273">+E109/D109-1</f>
        <v>2.0667899241716348</v>
      </c>
      <c r="F111" s="62">
        <f t="shared" ref="F111:J111" si="274">+F109/E109-1</f>
        <v>1.4930088877657988</v>
      </c>
      <c r="G111" s="62">
        <f t="shared" si="274"/>
        <v>-0.73403029477813075</v>
      </c>
      <c r="H111" s="62">
        <f t="shared" si="274"/>
        <v>-0.6798628445995345</v>
      </c>
      <c r="I111" s="62">
        <f t="shared" si="274"/>
        <v>-0.28524259318958423</v>
      </c>
      <c r="J111" s="190">
        <f t="shared" si="274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275">+Q109/P109-1</f>
        <v>-6.5328704891231881E-2</v>
      </c>
      <c r="R111" s="50">
        <f t="shared" ref="R111" si="276">+R109/Q109-1</f>
        <v>0.44468883343913745</v>
      </c>
      <c r="S111" s="50">
        <f t="shared" ref="S111" si="277">+S109/R109-1</f>
        <v>3.1889761572975752</v>
      </c>
      <c r="T111" s="50">
        <f t="shared" ref="T111" si="278">+T109/S109-1</f>
        <v>-0.27625222512141123</v>
      </c>
      <c r="U111" s="50">
        <f t="shared" ref="U111" si="279">+U109/T109-1</f>
        <v>-0.72501729333436904</v>
      </c>
      <c r="V111" s="50">
        <f t="shared" ref="V111" si="280">+V109/U109-1</f>
        <v>-0.56954539084274258</v>
      </c>
      <c r="W111" s="70">
        <f t="shared" ref="W111" si="281">+W109/V109-1</f>
        <v>-0.26414465334809278</v>
      </c>
      <c r="X111" s="73">
        <f t="shared" ref="X111" si="282">+X109/W109-1</f>
        <v>-0.22050059626324037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25" t="s">
        <v>112</v>
      </c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7"/>
      <c r="M113" s="2"/>
      <c r="N113" s="325" t="s">
        <v>113</v>
      </c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7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283">+C114+1</f>
        <v>2018</v>
      </c>
      <c r="E114" s="39">
        <f t="shared" si="283"/>
        <v>2019</v>
      </c>
      <c r="F114" s="39">
        <f t="shared" si="283"/>
        <v>2020</v>
      </c>
      <c r="G114" s="39">
        <f t="shared" si="283"/>
        <v>2021</v>
      </c>
      <c r="H114" s="39">
        <f t="shared" si="283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284">+P114+1</f>
        <v>2018</v>
      </c>
      <c r="R114" s="64">
        <f t="shared" ref="R114" si="285">+Q114+1</f>
        <v>2019</v>
      </c>
      <c r="S114" s="64">
        <f t="shared" ref="S114" si="286">+R114+1</f>
        <v>2020</v>
      </c>
      <c r="T114" s="64">
        <f t="shared" ref="T114" si="287">+S114+1</f>
        <v>2021</v>
      </c>
      <c r="U114" s="64">
        <f t="shared" ref="U114" si="288">+T114+1</f>
        <v>2022</v>
      </c>
      <c r="V114" s="64">
        <f t="shared" ref="V114" si="289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290">+SUM(C115)+SUM(B116:B126)</f>
        <v>7.272717000000001</v>
      </c>
      <c r="Q115" s="6">
        <f t="shared" si="290"/>
        <v>4.9161209999999995</v>
      </c>
      <c r="R115" s="6">
        <f t="shared" si="290"/>
        <v>4.791353</v>
      </c>
      <c r="S115" s="6">
        <f t="shared" si="290"/>
        <v>15.491101</v>
      </c>
      <c r="T115" s="6">
        <f t="shared" si="290"/>
        <v>9.1370120000000004</v>
      </c>
      <c r="U115" s="6">
        <f t="shared" si="290"/>
        <v>9.2059440000000006</v>
      </c>
      <c r="V115" s="6">
        <f t="shared" si="290"/>
        <v>8.8977869999999992</v>
      </c>
      <c r="W115" s="67">
        <f t="shared" si="290"/>
        <v>7.6465420000000011</v>
      </c>
      <c r="X115" s="37">
        <f t="shared" si="290"/>
        <v>6.4759469999999997</v>
      </c>
      <c r="Y115" s="78">
        <f>+X115/W115-1</f>
        <v>-0.15308815409632237</v>
      </c>
      <c r="Z115" s="7">
        <f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>+K116/J116-1</f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291">+SUM(C115:C116)+SUM(B117:B126)</f>
        <v>6.8420860000000001</v>
      </c>
      <c r="Q116" s="6">
        <f t="shared" si="291"/>
        <v>4.9698029999999997</v>
      </c>
      <c r="R116" s="6">
        <f t="shared" si="291"/>
        <v>4.687424</v>
      </c>
      <c r="S116" s="6">
        <f t="shared" si="291"/>
        <v>15.831724000000001</v>
      </c>
      <c r="T116" s="6">
        <f t="shared" si="291"/>
        <v>9.3118160000000003</v>
      </c>
      <c r="U116" s="6">
        <f t="shared" si="291"/>
        <v>9.1155830000000009</v>
      </c>
      <c r="V116" s="6">
        <f t="shared" si="291"/>
        <v>8.9485329999999994</v>
      </c>
      <c r="W116" s="67">
        <f t="shared" ref="W116" si="292">+SUM(J115:J116)+SUM(I117:I126)</f>
        <v>7.2517960000000006</v>
      </c>
      <c r="X116" s="67">
        <f t="shared" ref="X116" si="293">+SUM(K115:K116)+SUM(J117:J126)</f>
        <v>6.6673809999999989</v>
      </c>
      <c r="Y116" s="78">
        <f>+X116/W116-1</f>
        <v>-8.0589001676274585E-2</v>
      </c>
      <c r="Z116" s="7">
        <f>+POWER(X116/S116,0.2)-1</f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>+K117/J117-1</f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294">+SUM(C115:C117)+SUM(B118:B126)</f>
        <v>6.7208400000000008</v>
      </c>
      <c r="Q117" s="6">
        <f t="shared" si="294"/>
        <v>5.1672849999999997</v>
      </c>
      <c r="R117" s="6">
        <f t="shared" si="294"/>
        <v>4.5129969999999995</v>
      </c>
      <c r="S117" s="6">
        <f t="shared" si="294"/>
        <v>16.607266000000003</v>
      </c>
      <c r="T117" s="6">
        <f t="shared" si="294"/>
        <v>9.2315839999999998</v>
      </c>
      <c r="U117" s="6">
        <f t="shared" si="294"/>
        <v>8.8608030000000007</v>
      </c>
      <c r="V117" s="6">
        <f t="shared" si="294"/>
        <v>8.7989850000000001</v>
      </c>
      <c r="W117" s="67">
        <f t="shared" si="294"/>
        <v>7.0111460000000001</v>
      </c>
      <c r="X117" s="67">
        <f t="shared" ref="X117" si="295">+SUM(K115:K117)+SUM(J118:J126)</f>
        <v>6.6936389999999992</v>
      </c>
      <c r="Y117" s="78">
        <f>+X117/W117-1</f>
        <v>-4.5286034551270338E-2</v>
      </c>
      <c r="Z117" s="7">
        <f>+POWER(X117/S117,0.2)-1</f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/>
      <c r="L118" s="7"/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296">+SUM(C115:C118)+SUM(B119:B126)</f>
        <v>6.8987240000000005</v>
      </c>
      <c r="Q118" s="6">
        <f t="shared" si="296"/>
        <v>5.1112970000000004</v>
      </c>
      <c r="R118" s="6">
        <f t="shared" si="296"/>
        <v>4.4539840000000002</v>
      </c>
      <c r="S118" s="6">
        <f t="shared" si="296"/>
        <v>16.422543000000001</v>
      </c>
      <c r="T118" s="6">
        <f t="shared" si="296"/>
        <v>9.6403980000000011</v>
      </c>
      <c r="U118" s="6">
        <f t="shared" si="296"/>
        <v>9.3183549999999986</v>
      </c>
      <c r="V118" s="6">
        <f t="shared" ref="V118" si="297">+SUM(I115:I118)+SUM(H119:H126)</f>
        <v>8.4786749999999991</v>
      </c>
      <c r="W118" s="67">
        <f t="shared" ref="W118" si="298">+SUM(J115:J118)+SUM(I119:I126)</f>
        <v>6.9832099999999997</v>
      </c>
      <c r="X118" s="37"/>
      <c r="Y118" s="78"/>
      <c r="Z118" s="7"/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/>
      <c r="L119" s="7"/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299">+SUM(C115:C119)+SUM(B120:B126)</f>
        <v>6.5877460000000001</v>
      </c>
      <c r="Q119" s="6">
        <f t="shared" si="299"/>
        <v>5.0037650000000005</v>
      </c>
      <c r="R119" s="6">
        <f t="shared" si="299"/>
        <v>4.6302789999999998</v>
      </c>
      <c r="S119" s="6">
        <f t="shared" si="299"/>
        <v>16.308479000000002</v>
      </c>
      <c r="T119" s="6">
        <f t="shared" si="299"/>
        <v>11.198186</v>
      </c>
      <c r="U119" s="6">
        <f t="shared" si="299"/>
        <v>8.1520779999999995</v>
      </c>
      <c r="V119" s="6">
        <f t="shared" ref="V119" si="300">+SUM(I115:I119)+SUM(H120:H126)</f>
        <v>8.56264</v>
      </c>
      <c r="W119" s="67">
        <f t="shared" ref="W119" si="301">+SUM(J115:J119)+SUM(I120:I126)</f>
        <v>6.8110269999999993</v>
      </c>
      <c r="X119" s="37"/>
      <c r="Y119" s="78"/>
      <c r="Z119" s="7"/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/>
      <c r="L120" s="7"/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02">+SUM(C115:C120)+SUM(B121:B126)</f>
        <v>6.7439240000000007</v>
      </c>
      <c r="Q120" s="6">
        <f t="shared" si="302"/>
        <v>4.8849610000000006</v>
      </c>
      <c r="R120" s="6">
        <f t="shared" si="302"/>
        <v>4.7227420000000002</v>
      </c>
      <c r="S120" s="6">
        <f t="shared" si="302"/>
        <v>16.229455999999999</v>
      </c>
      <c r="T120" s="6">
        <f t="shared" si="302"/>
        <v>11.531056</v>
      </c>
      <c r="U120" s="6">
        <f t="shared" si="302"/>
        <v>8.4016939999999991</v>
      </c>
      <c r="V120" s="6">
        <f t="shared" si="302"/>
        <v>8.7186070000000004</v>
      </c>
      <c r="W120" s="67">
        <f t="shared" ref="W120" si="303">+SUM(J115:J120)+SUM(I121:I126)</f>
        <v>6.4547679999999996</v>
      </c>
      <c r="X120" s="67"/>
      <c r="Y120" s="78"/>
      <c r="Z120" s="7"/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/>
      <c r="L121" s="7"/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04">+SUM(C115:C121)+SUM(B122:B126)</f>
        <v>6.4294820000000001</v>
      </c>
      <c r="Q121" s="6">
        <f t="shared" si="304"/>
        <v>4.8332960000000007</v>
      </c>
      <c r="R121" s="6">
        <f t="shared" si="304"/>
        <v>4.7650039999999994</v>
      </c>
      <c r="S121" s="6">
        <f t="shared" si="304"/>
        <v>16.768579000000003</v>
      </c>
      <c r="T121" s="6">
        <f t="shared" si="304"/>
        <v>11.198588000000001</v>
      </c>
      <c r="U121" s="6">
        <f t="shared" si="304"/>
        <v>8.6193869999999997</v>
      </c>
      <c r="V121" s="6">
        <f t="shared" si="304"/>
        <v>9.2620970000000007</v>
      </c>
      <c r="W121" s="67">
        <f t="shared" ref="W121" si="305">+SUM(J115:J121)+SUM(I122:I126)</f>
        <v>6.1750059999999998</v>
      </c>
      <c r="X121" s="67"/>
      <c r="Y121" s="78"/>
      <c r="Z121" s="7"/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/>
      <c r="L122" s="7"/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306">+SUM(C115:C122)+SUM(B123:B126)</f>
        <v>5.377186</v>
      </c>
      <c r="Q122" s="6">
        <f t="shared" si="306"/>
        <v>4.9356439999999999</v>
      </c>
      <c r="R122" s="6">
        <f t="shared" si="306"/>
        <v>6.0883709999999995</v>
      </c>
      <c r="S122" s="6">
        <f t="shared" si="306"/>
        <v>15.927488</v>
      </c>
      <c r="T122" s="6">
        <f t="shared" si="306"/>
        <v>10.606189000000001</v>
      </c>
      <c r="U122" s="6">
        <f t="shared" si="306"/>
        <v>9.7221539999999997</v>
      </c>
      <c r="V122" s="6">
        <f t="shared" si="306"/>
        <v>8.2294870000000007</v>
      </c>
      <c r="W122" s="67">
        <f t="shared" ref="W122" si="307">+SUM(J115:J122)+SUM(I123:I126)</f>
        <v>6.5597119999999993</v>
      </c>
      <c r="X122" s="67"/>
      <c r="Y122" s="78"/>
      <c r="Z122" s="7"/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/>
      <c r="L123" s="7"/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308">+SUM(C115:C123)+SUM(B124:B126)</f>
        <v>4.265625</v>
      </c>
      <c r="Q123" s="6">
        <f t="shared" si="308"/>
        <v>5.0036740000000002</v>
      </c>
      <c r="R123" s="6">
        <f t="shared" si="308"/>
        <v>8.3171229999999987</v>
      </c>
      <c r="S123" s="6">
        <f t="shared" si="308"/>
        <v>13.673829</v>
      </c>
      <c r="T123" s="6">
        <f t="shared" si="308"/>
        <v>10.631216</v>
      </c>
      <c r="U123" s="6">
        <f t="shared" si="308"/>
        <v>10.155853</v>
      </c>
      <c r="V123" s="6">
        <f t="shared" si="308"/>
        <v>7.8041510000000009</v>
      </c>
      <c r="W123" s="67">
        <f t="shared" ref="W123" si="309">+SUM(J115:J123)+SUM(I124:I126)</f>
        <v>6.7371470000000002</v>
      </c>
      <c r="X123" s="67"/>
      <c r="Y123" s="78"/>
      <c r="Z123" s="7"/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/>
      <c r="L124" s="7"/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310">+SUM(C115:C124)+SUM(B125:B126)</f>
        <v>4.1188919999999998</v>
      </c>
      <c r="Q124" s="6">
        <f t="shared" si="310"/>
        <v>5.0406810000000002</v>
      </c>
      <c r="R124" s="6">
        <f t="shared" si="310"/>
        <v>11.554966999999998</v>
      </c>
      <c r="S124" s="6">
        <f t="shared" si="310"/>
        <v>11.086993</v>
      </c>
      <c r="T124" s="6">
        <f t="shared" si="310"/>
        <v>11.118378</v>
      </c>
      <c r="U124" s="6">
        <f t="shared" si="310"/>
        <v>9.0700329999999987</v>
      </c>
      <c r="V124" s="6">
        <f t="shared" ref="V124" si="311">+SUM(I115:I124)+SUM(H125:H126)</f>
        <v>7.9000800000000009</v>
      </c>
      <c r="W124" s="67">
        <f t="shared" ref="W124" si="312">+SUM(J115:J124)+SUM(I125:I126)</f>
        <v>6.380128</v>
      </c>
      <c r="X124" s="67"/>
      <c r="Y124" s="78"/>
      <c r="Z124" s="7"/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313">+SUM(C115:C125)+SUM(B126)</f>
        <v>4.4350750000000003</v>
      </c>
      <c r="Q125" s="6">
        <f t="shared" si="313"/>
        <v>4.7535370000000006</v>
      </c>
      <c r="R125" s="6">
        <f t="shared" si="313"/>
        <v>12.663188</v>
      </c>
      <c r="S125" s="6">
        <f t="shared" si="313"/>
        <v>10.872363999999999</v>
      </c>
      <c r="T125" s="6">
        <f t="shared" si="313"/>
        <v>10.440315000000002</v>
      </c>
      <c r="U125" s="6">
        <f t="shared" si="313"/>
        <v>8.7775059999999989</v>
      </c>
      <c r="V125" s="6">
        <f t="shared" ref="V125" si="314">+SUM(I115:I125)+SUM(H126)</f>
        <v>7.7525350000000008</v>
      </c>
      <c r="W125" s="67">
        <f t="shared" ref="W125" si="315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316">+SUM(C115:C126)</f>
        <v>4.8864700000000001</v>
      </c>
      <c r="Q126" s="6">
        <f t="shared" si="316"/>
        <v>4.7602240000000009</v>
      </c>
      <c r="R126" s="6">
        <f t="shared" si="316"/>
        <v>14.598606999999999</v>
      </c>
      <c r="S126" s="6">
        <f t="shared" si="316"/>
        <v>9.9333320000000001</v>
      </c>
      <c r="T126" s="6">
        <f t="shared" si="316"/>
        <v>9.3366760000000006</v>
      </c>
      <c r="U126" s="6">
        <f t="shared" si="316"/>
        <v>8.8138529999999999</v>
      </c>
      <c r="V126" s="6">
        <f t="shared" ref="V126" si="317">+SUM(I115:I126)</f>
        <v>7.7836920000000012</v>
      </c>
      <c r="W126" s="67">
        <f t="shared" ref="W126" si="318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319">SUM(C115:C126)</f>
        <v>4.8864700000000001</v>
      </c>
      <c r="D127" s="159">
        <f t="shared" si="319"/>
        <v>4.7602240000000009</v>
      </c>
      <c r="E127" s="159">
        <f t="shared" si="319"/>
        <v>14.598606999999999</v>
      </c>
      <c r="F127" s="159">
        <f t="shared" si="319"/>
        <v>9.9333320000000001</v>
      </c>
      <c r="G127" s="159">
        <f t="shared" ref="G127:I127" si="320">SUM(G115:G126)</f>
        <v>9.3366760000000006</v>
      </c>
      <c r="H127" s="159">
        <f t="shared" si="320"/>
        <v>8.8138529999999999</v>
      </c>
      <c r="I127" s="159">
        <f t="shared" si="320"/>
        <v>7.7836920000000012</v>
      </c>
      <c r="J127" s="216">
        <f t="shared" ref="J127" si="321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322">+AVERAGE(Q115:Q126)</f>
        <v>4.9483573333333331</v>
      </c>
      <c r="R127" s="46">
        <f t="shared" si="322"/>
        <v>7.1488365833333338</v>
      </c>
      <c r="S127" s="46">
        <f t="shared" si="322"/>
        <v>14.596096166666671</v>
      </c>
      <c r="T127" s="46">
        <f t="shared" si="322"/>
        <v>10.281784499999999</v>
      </c>
      <c r="U127" s="46">
        <f t="shared" si="322"/>
        <v>9.0177702499999999</v>
      </c>
      <c r="V127" s="46">
        <f t="shared" si="322"/>
        <v>8.4281057500000021</v>
      </c>
      <c r="W127" s="68">
        <f t="shared" si="322"/>
        <v>6.7604491666666666</v>
      </c>
      <c r="X127" s="47">
        <f t="shared" si="322"/>
        <v>6.6123223333333323</v>
      </c>
      <c r="Y127" s="79">
        <f>+X127/W127-1</f>
        <v>-2.1910797593700515E-2</v>
      </c>
      <c r="Z127" s="75">
        <f>+POWER(X127/S127,0.2)-1</f>
        <v>-0.14646082257327642</v>
      </c>
    </row>
    <row r="128" spans="1:26" ht="25.5" x14ac:dyDescent="0.25">
      <c r="A128" s="57" t="s">
        <v>15</v>
      </c>
      <c r="B128" s="58">
        <f t="shared" ref="B128:G128" si="323">+B127/B$181</f>
        <v>2.8668730428039621E-2</v>
      </c>
      <c r="C128" s="58">
        <f t="shared" si="323"/>
        <v>2.1771937560578006E-2</v>
      </c>
      <c r="D128" s="58">
        <f t="shared" si="323"/>
        <v>1.735249763323617E-2</v>
      </c>
      <c r="E128" s="58">
        <f t="shared" si="323"/>
        <v>4.788615948655129E-2</v>
      </c>
      <c r="F128" s="58">
        <f t="shared" si="323"/>
        <v>2.5413911572286226E-2</v>
      </c>
      <c r="G128" s="58">
        <f t="shared" si="323"/>
        <v>3.2316264550170129E-2</v>
      </c>
      <c r="H128" s="58">
        <f t="shared" ref="H128" si="324">+H127/H$181</f>
        <v>3.5714111910581464E-2</v>
      </c>
      <c r="I128" s="58">
        <f t="shared" ref="I128:J128" si="325">+I127/I$360</f>
        <v>1.193457191615417E-2</v>
      </c>
      <c r="J128" s="189">
        <f t="shared" si="325"/>
        <v>9.5700608471627913E-3</v>
      </c>
      <c r="K128" s="234"/>
      <c r="L128" s="59"/>
      <c r="M128" s="3"/>
      <c r="N128" s="44" t="s">
        <v>15</v>
      </c>
      <c r="O128" s="48">
        <f t="shared" ref="O128:X128" si="326">+O127/O$181</f>
        <v>2.5376967332087622E-2</v>
      </c>
      <c r="P128" s="48">
        <f t="shared" si="326"/>
        <v>2.4449941565697329E-2</v>
      </c>
      <c r="Q128" s="48">
        <f t="shared" si="326"/>
        <v>2.0998614905827519E-2</v>
      </c>
      <c r="R128" s="48">
        <f t="shared" si="326"/>
        <v>2.412911728538969E-2</v>
      </c>
      <c r="S128" s="48">
        <f t="shared" si="326"/>
        <v>3.9184167096585017E-2</v>
      </c>
      <c r="T128" s="48">
        <f t="shared" si="326"/>
        <v>3.1704557478086245E-2</v>
      </c>
      <c r="U128" s="48">
        <f t="shared" si="326"/>
        <v>3.3322235451268861E-2</v>
      </c>
      <c r="V128" s="48">
        <f t="shared" si="326"/>
        <v>4.0163773483343886E-2</v>
      </c>
      <c r="W128" s="69">
        <f t="shared" si="326"/>
        <v>3.625419552146561E-2</v>
      </c>
      <c r="X128" s="72">
        <f t="shared" si="326"/>
        <v>3.4074764710154672E-2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27">+D127/C127-1</f>
        <v>-2.5835828317783416E-2</v>
      </c>
      <c r="E129" s="62">
        <f t="shared" si="327"/>
        <v>2.0667899241716348</v>
      </c>
      <c r="F129" s="62">
        <f t="shared" si="327"/>
        <v>-0.31956987402976189</v>
      </c>
      <c r="G129" s="62">
        <f t="shared" si="327"/>
        <v>-6.0066048331013144E-2</v>
      </c>
      <c r="H129" s="62">
        <f t="shared" si="327"/>
        <v>-5.5996695183596512E-2</v>
      </c>
      <c r="I129" s="62">
        <f t="shared" si="327"/>
        <v>-0.11687975735470046</v>
      </c>
      <c r="J129" s="190">
        <f t="shared" si="327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328">+Q127/P127-1</f>
        <v>-0.15866640175224389</v>
      </c>
      <c r="R129" s="50">
        <f t="shared" ref="R129" si="329">+R127/Q127-1</f>
        <v>0.44468883343913745</v>
      </c>
      <c r="S129" s="50">
        <f t="shared" ref="S129" si="330">+S127/R127-1</f>
        <v>1.0417442749629697</v>
      </c>
      <c r="T129" s="50">
        <f t="shared" ref="T129" si="331">+T127/S127-1</f>
        <v>-0.29557983295008239</v>
      </c>
      <c r="U129" s="50">
        <f t="shared" ref="U129" si="332">+U127/T127-1</f>
        <v>-0.12293724401634742</v>
      </c>
      <c r="V129" s="50">
        <f t="shared" ref="V129" si="333">+V127/U127-1</f>
        <v>-6.5389168680583531E-2</v>
      </c>
      <c r="W129" s="70">
        <f t="shared" ref="W129" si="334">+W127/V127-1</f>
        <v>-0.19786849296870002</v>
      </c>
      <c r="X129" s="73">
        <f t="shared" ref="X129" si="335">+X127/W127-1</f>
        <v>-2.1910797593700515E-2</v>
      </c>
      <c r="Y129" s="51"/>
      <c r="Z129" s="52"/>
    </row>
    <row r="130" spans="1:26" ht="15.75" thickBot="1" x14ac:dyDescent="0.3"/>
    <row r="131" spans="1:26" ht="15.75" thickBot="1" x14ac:dyDescent="0.3">
      <c r="A131" s="325" t="s">
        <v>114</v>
      </c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7"/>
      <c r="M131" s="2"/>
      <c r="N131" s="325" t="s">
        <v>115</v>
      </c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7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336">+C132+1</f>
        <v>2018</v>
      </c>
      <c r="E132" s="39">
        <f t="shared" si="336"/>
        <v>2019</v>
      </c>
      <c r="F132" s="39">
        <f t="shared" si="336"/>
        <v>2020</v>
      </c>
      <c r="G132" s="39">
        <f t="shared" si="336"/>
        <v>2021</v>
      </c>
      <c r="H132" s="39">
        <f t="shared" si="336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37">+P132+1</f>
        <v>2018</v>
      </c>
      <c r="R132" s="64">
        <f t="shared" ref="R132" si="338">+Q132+1</f>
        <v>2019</v>
      </c>
      <c r="S132" s="64">
        <f t="shared" ref="S132" si="339">+R132+1</f>
        <v>2020</v>
      </c>
      <c r="T132" s="64">
        <f t="shared" ref="T132" si="340">+S132+1</f>
        <v>2021</v>
      </c>
      <c r="U132" s="64">
        <f t="shared" ref="U132" si="341">+T132+1</f>
        <v>2022</v>
      </c>
      <c r="V132" s="64">
        <f t="shared" ref="V132" si="342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343">+SUM(C133)+SUM(B134:B144)</f>
        <v>14.354139</v>
      </c>
      <c r="Q133" s="6">
        <f t="shared" si="343"/>
        <v>11.107140000000001</v>
      </c>
      <c r="R133" s="6">
        <f t="shared" si="343"/>
        <v>11.366485000000001</v>
      </c>
      <c r="S133" s="6">
        <f t="shared" si="343"/>
        <v>11.984876999999997</v>
      </c>
      <c r="T133" s="6">
        <f t="shared" si="343"/>
        <v>14.976700000000001</v>
      </c>
      <c r="U133" s="6">
        <f t="shared" si="343"/>
        <v>12.926758000000001</v>
      </c>
      <c r="V133" s="6">
        <f t="shared" si="343"/>
        <v>8.8647849999999977</v>
      </c>
      <c r="W133" s="67">
        <f t="shared" si="343"/>
        <v>2.229571</v>
      </c>
      <c r="X133" s="37">
        <f t="shared" si="343"/>
        <v>4.3789109999999996</v>
      </c>
      <c r="Y133" s="78">
        <f>+X133/W133-1</f>
        <v>0.96401505042898372</v>
      </c>
      <c r="Z133" s="7">
        <f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>+K134/J134-1</f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344">+SUM(C133:C134)+SUM(B135:B144)</f>
        <v>14.013481000000002</v>
      </c>
      <c r="Q134" s="6">
        <f t="shared" si="344"/>
        <v>11.084982999999999</v>
      </c>
      <c r="R134" s="6">
        <f t="shared" si="344"/>
        <v>11.365556000000002</v>
      </c>
      <c r="S134" s="6">
        <f t="shared" si="344"/>
        <v>12.46411</v>
      </c>
      <c r="T134" s="6">
        <f t="shared" si="344"/>
        <v>14.916840000000001</v>
      </c>
      <c r="U134" s="6">
        <f t="shared" si="344"/>
        <v>12.610899000000002</v>
      </c>
      <c r="V134" s="6">
        <f t="shared" si="344"/>
        <v>8.4905639999999991</v>
      </c>
      <c r="W134" s="67">
        <f t="shared" ref="W134" si="345">+SUM(J133:J134)+SUM(I135:I144)</f>
        <v>2.1393199999999997</v>
      </c>
      <c r="X134" s="67">
        <f t="shared" ref="X134" si="346">+SUM(K133:K134)+SUM(J135:J144)</f>
        <v>4.5236779999999994</v>
      </c>
      <c r="Y134" s="78">
        <f>+X134/W134-1</f>
        <v>1.1145401342482657</v>
      </c>
      <c r="Z134" s="7">
        <f>+POWER(X134/S134,0.2)-1</f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>+K135/J135-1</f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347">+SUM(C133:C135)+SUM(B136:B144)</f>
        <v>12.812017000000003</v>
      </c>
      <c r="Q135" s="6">
        <f t="shared" si="347"/>
        <v>12.447205</v>
      </c>
      <c r="R135" s="6">
        <f t="shared" si="347"/>
        <v>10.308225999999999</v>
      </c>
      <c r="S135" s="6">
        <f t="shared" si="347"/>
        <v>12.670753999999999</v>
      </c>
      <c r="T135" s="6">
        <f t="shared" si="347"/>
        <v>15.592862</v>
      </c>
      <c r="U135" s="6">
        <f t="shared" si="347"/>
        <v>12.102914</v>
      </c>
      <c r="V135" s="6">
        <f t="shared" si="347"/>
        <v>7.7844319999999989</v>
      </c>
      <c r="W135" s="67">
        <f t="shared" si="347"/>
        <v>2.1081400000000001</v>
      </c>
      <c r="X135" s="67">
        <f t="shared" ref="X135" si="348">+SUM(K133:K135)+SUM(J136:J144)</f>
        <v>4.5066360000000003</v>
      </c>
      <c r="Y135" s="78">
        <f>+X135/W135-1</f>
        <v>1.137730890737807</v>
      </c>
      <c r="Z135" s="7">
        <f>+POWER(X135/S135,0.2)-1</f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/>
      <c r="L136" s="7"/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349">+SUM(C133:C136)+SUM(B137:B144)</f>
        <v>12.441934</v>
      </c>
      <c r="Q136" s="6">
        <f t="shared" si="349"/>
        <v>12.413</v>
      </c>
      <c r="R136" s="6">
        <f t="shared" si="349"/>
        <v>10.668150000000001</v>
      </c>
      <c r="S136" s="6">
        <f t="shared" si="349"/>
        <v>12.577065000000001</v>
      </c>
      <c r="T136" s="6">
        <f t="shared" si="349"/>
        <v>15.453499999999998</v>
      </c>
      <c r="U136" s="6">
        <f t="shared" si="349"/>
        <v>11.700337000000001</v>
      </c>
      <c r="V136" s="6">
        <f t="shared" si="349"/>
        <v>7.2510819999999994</v>
      </c>
      <c r="W136" s="67">
        <f t="shared" ref="W136" si="350">+SUM(J133:J136)+SUM(I137:I144)</f>
        <v>2.4559499999999996</v>
      </c>
      <c r="X136" s="37"/>
      <c r="Y136" s="78"/>
      <c r="Z136" s="7"/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/>
      <c r="L137" s="7"/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351">+SUM(C133:C137)+SUM(B138:B144)</f>
        <v>11.935435999999999</v>
      </c>
      <c r="Q137" s="6">
        <f t="shared" si="351"/>
        <v>11.721361999999999</v>
      </c>
      <c r="R137" s="6">
        <f t="shared" si="351"/>
        <v>11.589193000000002</v>
      </c>
      <c r="S137" s="6">
        <f t="shared" si="351"/>
        <v>13.9964</v>
      </c>
      <c r="T137" s="6">
        <f t="shared" si="351"/>
        <v>15.218237000000002</v>
      </c>
      <c r="U137" s="6">
        <f t="shared" si="351"/>
        <v>9.6773540000000011</v>
      </c>
      <c r="V137" s="6">
        <f t="shared" si="351"/>
        <v>6.7603849999999994</v>
      </c>
      <c r="W137" s="67">
        <f t="shared" ref="W137" si="352">+SUM(J133:J137)+SUM(I138:I144)</f>
        <v>2.7790049999999997</v>
      </c>
      <c r="X137" s="37"/>
      <c r="Y137" s="78"/>
      <c r="Z137" s="7"/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/>
      <c r="L138" s="7"/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353">+SUM(C133:C138)+SUM(B139:B144)</f>
        <v>11.585523999999999</v>
      </c>
      <c r="Q138" s="6">
        <f t="shared" si="353"/>
        <v>11.1037</v>
      </c>
      <c r="R138" s="6">
        <f t="shared" si="353"/>
        <v>12.014308000000002</v>
      </c>
      <c r="S138" s="6">
        <f t="shared" si="353"/>
        <v>15.973375999999998</v>
      </c>
      <c r="T138" s="6">
        <f t="shared" si="353"/>
        <v>13.080456000000002</v>
      </c>
      <c r="U138" s="6">
        <f t="shared" si="353"/>
        <v>9.6280350000000006</v>
      </c>
      <c r="V138" s="6">
        <f t="shared" si="353"/>
        <v>6.0244290000000005</v>
      </c>
      <c r="W138" s="67">
        <f t="shared" ref="W138" si="354">+SUM(J133:J138)+SUM(I139:I144)</f>
        <v>3.3068249999999999</v>
      </c>
      <c r="X138" s="67"/>
      <c r="Y138" s="78"/>
      <c r="Z138" s="7"/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/>
      <c r="L139" s="7"/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355">+SUM(C133:C139)+SUM(B140:B144)</f>
        <v>11.610619999999999</v>
      </c>
      <c r="Q139" s="6">
        <f t="shared" si="355"/>
        <v>10.632338000000001</v>
      </c>
      <c r="R139" s="6">
        <f t="shared" si="355"/>
        <v>12.025013000000001</v>
      </c>
      <c r="S139" s="6">
        <f t="shared" si="355"/>
        <v>16.018583999999997</v>
      </c>
      <c r="T139" s="6">
        <f t="shared" si="355"/>
        <v>13.576908</v>
      </c>
      <c r="U139" s="6">
        <f t="shared" si="355"/>
        <v>9.9631150000000019</v>
      </c>
      <c r="V139" s="6">
        <f t="shared" si="355"/>
        <v>4.1651220000000002</v>
      </c>
      <c r="W139" s="67">
        <f t="shared" ref="W139" si="356">+SUM(J133:J139)+SUM(I140:I144)</f>
        <v>3.3751389999999999</v>
      </c>
      <c r="X139" s="67"/>
      <c r="Y139" s="78"/>
      <c r="Z139" s="7"/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/>
      <c r="L140" s="7"/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357">+SUM(C133:C140)+SUM(B141:B144)</f>
        <v>11.509726000000001</v>
      </c>
      <c r="Q140" s="6">
        <f t="shared" si="357"/>
        <v>10.726326</v>
      </c>
      <c r="R140" s="6">
        <f t="shared" si="357"/>
        <v>11.480637000000002</v>
      </c>
      <c r="S140" s="6">
        <f t="shared" si="357"/>
        <v>16.724117999999997</v>
      </c>
      <c r="T140" s="6">
        <f t="shared" si="357"/>
        <v>13.184272999999999</v>
      </c>
      <c r="U140" s="6">
        <f t="shared" si="357"/>
        <v>9.9316590000000016</v>
      </c>
      <c r="V140" s="6">
        <f t="shared" si="357"/>
        <v>3.6977159999999998</v>
      </c>
      <c r="W140" s="67">
        <f t="shared" ref="W140" si="358">+SUM(J133:J140)+SUM(I141:I144)</f>
        <v>3.987482</v>
      </c>
      <c r="X140" s="67"/>
      <c r="Y140" s="78"/>
      <c r="Z140" s="7"/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/>
      <c r="L141" s="7"/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359">+SUM(C133:C141)+SUM(B142:B144)</f>
        <v>11.146570000000001</v>
      </c>
      <c r="Q141" s="6">
        <f t="shared" si="359"/>
        <v>11.087637000000001</v>
      </c>
      <c r="R141" s="6">
        <f t="shared" si="359"/>
        <v>11.902310000000002</v>
      </c>
      <c r="S141" s="6">
        <f t="shared" si="359"/>
        <v>16.199542999999998</v>
      </c>
      <c r="T141" s="6">
        <f t="shared" si="359"/>
        <v>12.451402</v>
      </c>
      <c r="U141" s="6">
        <f t="shared" si="359"/>
        <v>9.9663710000000005</v>
      </c>
      <c r="V141" s="6">
        <f t="shared" si="359"/>
        <v>3.517598</v>
      </c>
      <c r="W141" s="67">
        <f t="shared" ref="W141" si="360">+SUM(J133:J141)+SUM(I142:I144)</f>
        <v>4.2644059999999993</v>
      </c>
      <c r="X141" s="67"/>
      <c r="Y141" s="78"/>
      <c r="Z141" s="7"/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/>
      <c r="L142" s="7"/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361">+SUM(C133:C142)+SUM(B143:B144)</f>
        <v>10.456643000000001</v>
      </c>
      <c r="Q142" s="6">
        <f t="shared" si="361"/>
        <v>11.306710000000001</v>
      </c>
      <c r="R142" s="6">
        <f t="shared" si="361"/>
        <v>11.924541000000001</v>
      </c>
      <c r="S142" s="6">
        <f t="shared" si="361"/>
        <v>16.145913999999998</v>
      </c>
      <c r="T142" s="6">
        <f t="shared" si="361"/>
        <v>11.971228</v>
      </c>
      <c r="U142" s="6">
        <f t="shared" si="361"/>
        <v>9.6294080000000015</v>
      </c>
      <c r="V142" s="6">
        <f t="shared" si="361"/>
        <v>3.380636</v>
      </c>
      <c r="W142" s="67">
        <f t="shared" ref="W142" si="362">+SUM(J133:J142)+SUM(I143:I144)</f>
        <v>4.3799320000000002</v>
      </c>
      <c r="X142" s="67"/>
      <c r="Y142" s="78"/>
      <c r="Z142" s="7"/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363">+SUM(C133:C143)+SUM(B144)</f>
        <v>10.591595000000002</v>
      </c>
      <c r="Q143" s="6">
        <f t="shared" si="363"/>
        <v>11.511352</v>
      </c>
      <c r="R143" s="6">
        <f t="shared" si="363"/>
        <v>12.082487</v>
      </c>
      <c r="S143" s="6">
        <f t="shared" si="363"/>
        <v>15.662682999999998</v>
      </c>
      <c r="T143" s="6">
        <f t="shared" si="363"/>
        <v>12.079368000000001</v>
      </c>
      <c r="U143" s="6">
        <f t="shared" si="363"/>
        <v>9.0802680000000002</v>
      </c>
      <c r="V143" s="6">
        <f t="shared" si="363"/>
        <v>3.3371819999999999</v>
      </c>
      <c r="W143" s="67">
        <f t="shared" ref="W143" si="364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365">+SUM(C133:C144)</f>
        <v>11.188770000000002</v>
      </c>
      <c r="Q144" s="6">
        <f t="shared" si="365"/>
        <v>11.157334000000001</v>
      </c>
      <c r="R144" s="6">
        <f t="shared" si="365"/>
        <v>12.003783</v>
      </c>
      <c r="S144" s="6">
        <f t="shared" si="365"/>
        <v>15.516882999999998</v>
      </c>
      <c r="T144" s="6">
        <f t="shared" si="365"/>
        <v>12.34088</v>
      </c>
      <c r="U144" s="6">
        <f t="shared" si="365"/>
        <v>9.0659729999999996</v>
      </c>
      <c r="V144" s="6">
        <f t="shared" si="365"/>
        <v>2.9473769999999999</v>
      </c>
      <c r="W144" s="67">
        <f t="shared" ref="W144" si="366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367">SUM(C133:C144)</f>
        <v>11.188770000000002</v>
      </c>
      <c r="D145" s="159">
        <f t="shared" si="367"/>
        <v>11.157334000000001</v>
      </c>
      <c r="E145" s="159">
        <f t="shared" si="367"/>
        <v>12.003783</v>
      </c>
      <c r="F145" s="159">
        <f t="shared" si="367"/>
        <v>15.516882999999998</v>
      </c>
      <c r="G145" s="159">
        <f t="shared" ref="G145" si="368">SUM(G133:G144)</f>
        <v>12.34088</v>
      </c>
      <c r="H145" s="159">
        <f t="shared" ref="H145:I145" si="369">SUM(H133:H144)</f>
        <v>9.0659729999999996</v>
      </c>
      <c r="I145" s="159">
        <f t="shared" si="369"/>
        <v>2.9473769999999999</v>
      </c>
      <c r="J145" s="216">
        <f t="shared" ref="J145" si="370">SUM(J133:J144)</f>
        <v>4.3074589999999997</v>
      </c>
      <c r="K145" s="216"/>
      <c r="L145" s="56"/>
      <c r="M145" s="3"/>
      <c r="N145" s="43" t="s">
        <v>14</v>
      </c>
      <c r="O145" s="46">
        <f t="shared" ref="O145" si="371">+AVERAGE(O133:O144)</f>
        <v>11.306833583333331</v>
      </c>
      <c r="P145" s="46">
        <f>+AVERAGE(P133:P144)</f>
        <v>11.970537916666666</v>
      </c>
      <c r="Q145" s="46">
        <f t="shared" ref="Q145:X145" si="372">+AVERAGE(Q133:Q144)</f>
        <v>11.358257250000001</v>
      </c>
      <c r="R145" s="46">
        <f t="shared" si="372"/>
        <v>11.56089075</v>
      </c>
      <c r="S145" s="46">
        <f t="shared" si="372"/>
        <v>14.661192249999999</v>
      </c>
      <c r="T145" s="46">
        <f t="shared" si="372"/>
        <v>13.736887833333332</v>
      </c>
      <c r="U145" s="46">
        <f t="shared" si="372"/>
        <v>10.523590916666667</v>
      </c>
      <c r="V145" s="46">
        <f t="shared" si="372"/>
        <v>5.5184423333333328</v>
      </c>
      <c r="W145" s="68">
        <f t="shared" si="372"/>
        <v>3.3317535833333332</v>
      </c>
      <c r="X145" s="47">
        <f t="shared" si="372"/>
        <v>4.4697416666666667</v>
      </c>
      <c r="Y145" s="79">
        <f>+X145/W145-1</f>
        <v>0.3415582980163876</v>
      </c>
      <c r="Z145" s="75">
        <f>+POWER(X145/S145,0.2)-1</f>
        <v>-0.21146200012328453</v>
      </c>
    </row>
    <row r="146" spans="1:26" ht="25.5" x14ac:dyDescent="0.25">
      <c r="A146" s="57" t="s">
        <v>15</v>
      </c>
      <c r="B146" s="58">
        <f t="shared" ref="B146:G146" si="373">+B145/B$181</f>
        <v>5.395189911393674E-2</v>
      </c>
      <c r="C146" s="58">
        <f t="shared" si="373"/>
        <v>4.9852184055088518E-2</v>
      </c>
      <c r="D146" s="58">
        <f t="shared" si="373"/>
        <v>4.0671954056831237E-2</v>
      </c>
      <c r="E146" s="58">
        <f t="shared" si="373"/>
        <v>3.9374651785608936E-2</v>
      </c>
      <c r="F146" s="58">
        <f t="shared" si="373"/>
        <v>3.9699135440103214E-2</v>
      </c>
      <c r="G146" s="58">
        <f t="shared" si="373"/>
        <v>4.2714467425227512E-2</v>
      </c>
      <c r="H146" s="58">
        <f t="shared" ref="H146" si="374">+H145/H$181</f>
        <v>3.6735713007728849E-2</v>
      </c>
      <c r="I146" s="58">
        <f t="shared" ref="I146:J146" si="375">+I145/I$360</f>
        <v>4.5191514220396601E-3</v>
      </c>
      <c r="J146" s="189">
        <f t="shared" si="375"/>
        <v>6.3232004580051826E-3</v>
      </c>
      <c r="K146" s="234"/>
      <c r="L146" s="59"/>
      <c r="M146" s="3"/>
      <c r="N146" s="44" t="s">
        <v>15</v>
      </c>
      <c r="O146" s="48">
        <f t="shared" ref="O146:X146" si="376">+O145/O$181</f>
        <v>4.3667784251065031E-2</v>
      </c>
      <c r="P146" s="48">
        <f t="shared" si="376"/>
        <v>4.9762096734696004E-2</v>
      </c>
      <c r="Q146" s="48">
        <f t="shared" si="376"/>
        <v>4.8199362723348231E-2</v>
      </c>
      <c r="R146" s="48">
        <f t="shared" si="376"/>
        <v>3.9020907189384522E-2</v>
      </c>
      <c r="S146" s="48">
        <f t="shared" si="376"/>
        <v>3.9358921755470559E-2</v>
      </c>
      <c r="T146" s="48">
        <f t="shared" si="376"/>
        <v>4.2358595424942067E-2</v>
      </c>
      <c r="U146" s="48">
        <f t="shared" si="376"/>
        <v>3.8886505709989777E-2</v>
      </c>
      <c r="V146" s="48">
        <f t="shared" si="376"/>
        <v>2.6297898297834674E-2</v>
      </c>
      <c r="W146" s="69">
        <f t="shared" si="376"/>
        <v>1.786716279667961E-2</v>
      </c>
      <c r="X146" s="72">
        <f t="shared" si="376"/>
        <v>2.3033570949657974E-2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377">+D145/C145-1</f>
        <v>-2.8096028428505893E-3</v>
      </c>
      <c r="E147" s="62">
        <f t="shared" si="377"/>
        <v>7.5864807847465965E-2</v>
      </c>
      <c r="F147" s="62">
        <f t="shared" si="377"/>
        <v>0.29266607035465375</v>
      </c>
      <c r="G147" s="62">
        <f t="shared" si="377"/>
        <v>-0.20468047609819562</v>
      </c>
      <c r="H147" s="62">
        <f t="shared" si="377"/>
        <v>-0.26537062186813265</v>
      </c>
      <c r="I147" s="62">
        <f t="shared" si="377"/>
        <v>-0.67489678162509414</v>
      </c>
      <c r="J147" s="190">
        <f t="shared" si="377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378">+Q145/P145-1</f>
        <v>-5.1148968486552482E-2</v>
      </c>
      <c r="R147" s="50">
        <f t="shared" ref="R147" si="379">+R145/Q145-1</f>
        <v>1.7840192869376992E-2</v>
      </c>
      <c r="S147" s="50">
        <f t="shared" ref="S147" si="380">+S145/R145-1</f>
        <v>0.26817150745931917</v>
      </c>
      <c r="T147" s="50">
        <f t="shared" ref="T147" si="381">+T145/S145-1</f>
        <v>-6.3044287320266679E-2</v>
      </c>
      <c r="U147" s="50">
        <f t="shared" ref="U147" si="382">+U145/T145-1</f>
        <v>-0.23391738766836401</v>
      </c>
      <c r="V147" s="50">
        <f t="shared" ref="V147" si="383">+V145/U145-1</f>
        <v>-0.47561223378670714</v>
      </c>
      <c r="W147" s="70">
        <f t="shared" ref="W147" si="384">+W145/V145-1</f>
        <v>-0.39625108280857269</v>
      </c>
      <c r="X147" s="73">
        <f t="shared" ref="X147" si="385">+X145/W145-1</f>
        <v>0.3415582980163876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25" t="s">
        <v>116</v>
      </c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7"/>
      <c r="M149" s="2"/>
      <c r="N149" s="325" t="s">
        <v>117</v>
      </c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7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386">+C150+1</f>
        <v>2018</v>
      </c>
      <c r="E150" s="39">
        <f t="shared" si="386"/>
        <v>2019</v>
      </c>
      <c r="F150" s="39">
        <f t="shared" si="386"/>
        <v>2020</v>
      </c>
      <c r="G150" s="39">
        <f t="shared" si="386"/>
        <v>2021</v>
      </c>
      <c r="H150" s="39">
        <f t="shared" si="386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387">+P150+1</f>
        <v>2018</v>
      </c>
      <c r="R150" s="64">
        <f t="shared" ref="R150" si="388">+Q150+1</f>
        <v>2019</v>
      </c>
      <c r="S150" s="64">
        <f t="shared" ref="S150" si="389">+R150+1</f>
        <v>2020</v>
      </c>
      <c r="T150" s="64">
        <f t="shared" ref="T150" si="390">+S150+1</f>
        <v>2021</v>
      </c>
      <c r="U150" s="64">
        <f t="shared" ref="U150" si="391">+T150+1</f>
        <v>2022</v>
      </c>
      <c r="V150" s="64">
        <f t="shared" ref="V150" si="392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393">+SUM(C151)+SUM(B152:B162)</f>
        <v>3.1882619999999999</v>
      </c>
      <c r="Q151" s="6">
        <f t="shared" si="393"/>
        <v>3.3423980000000002</v>
      </c>
      <c r="R151" s="6">
        <f t="shared" si="393"/>
        <v>3.1442750000000004</v>
      </c>
      <c r="S151" s="6">
        <f t="shared" si="393"/>
        <v>2.4815610000000001</v>
      </c>
      <c r="T151" s="6">
        <f t="shared" si="393"/>
        <v>2.6418430000000002</v>
      </c>
      <c r="U151" s="6">
        <f t="shared" si="393"/>
        <v>2.6484890000000001</v>
      </c>
      <c r="V151" s="6">
        <f t="shared" si="393"/>
        <v>2.2045909999999997</v>
      </c>
      <c r="W151" s="67">
        <f t="shared" si="393"/>
        <v>2.1866810000000001</v>
      </c>
      <c r="X151" s="37">
        <f t="shared" si="393"/>
        <v>1.9714530000000001</v>
      </c>
      <c r="Y151" s="78">
        <f>+X151/W151-1</f>
        <v>-9.8426793848759853E-2</v>
      </c>
      <c r="Z151" s="7">
        <f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>+K152/J152-1</f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394">+SUM(C151:C152)+SUM(B153:B162)</f>
        <v>3.1658709999999997</v>
      </c>
      <c r="Q152" s="6">
        <f t="shared" si="394"/>
        <v>3.3690800000000003</v>
      </c>
      <c r="R152" s="6">
        <f t="shared" si="394"/>
        <v>3.0694710000000001</v>
      </c>
      <c r="S152" s="6">
        <f t="shared" si="394"/>
        <v>2.482977</v>
      </c>
      <c r="T152" s="6">
        <f t="shared" si="394"/>
        <v>2.6889640000000004</v>
      </c>
      <c r="U152" s="6">
        <f t="shared" si="394"/>
        <v>2.7298440000000004</v>
      </c>
      <c r="V152" s="6">
        <f t="shared" si="394"/>
        <v>2.063707</v>
      </c>
      <c r="W152" s="67">
        <f t="shared" ref="W152" si="395">+SUM(J151:J152)+SUM(I153:I162)</f>
        <v>2.189114</v>
      </c>
      <c r="X152" s="67">
        <f t="shared" ref="X152" si="396">+SUM(K151:K152)+SUM(J153:J162)</f>
        <v>1.8913879999999998</v>
      </c>
      <c r="Y152" s="78">
        <f>+X152/W152-1</f>
        <v>-0.13600296741055973</v>
      </c>
      <c r="Z152" s="7">
        <f>+POWER(X152/S152,0.2)-1</f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>+K153/J153-1</f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397">+SUM(C151:C153)+SUM(B154:B162)</f>
        <v>3.2035419999999997</v>
      </c>
      <c r="Q153" s="6">
        <f t="shared" si="397"/>
        <v>3.3524210000000001</v>
      </c>
      <c r="R153" s="6">
        <f t="shared" si="397"/>
        <v>2.8733130000000005</v>
      </c>
      <c r="S153" s="6">
        <f t="shared" si="397"/>
        <v>2.4279169999999999</v>
      </c>
      <c r="T153" s="6">
        <f t="shared" si="397"/>
        <v>2.7871579999999998</v>
      </c>
      <c r="U153" s="6">
        <f t="shared" si="397"/>
        <v>2.6416620000000002</v>
      </c>
      <c r="V153" s="6">
        <f t="shared" si="397"/>
        <v>2.1600489999999999</v>
      </c>
      <c r="W153" s="67">
        <f t="shared" si="397"/>
        <v>2.0898460000000001</v>
      </c>
      <c r="X153" s="67">
        <f t="shared" ref="X153" si="398">+SUM(K151:K153)+SUM(J154:J162)</f>
        <v>1.947036</v>
      </c>
      <c r="Y153" s="78">
        <f>+X153/W153-1</f>
        <v>-6.8335178764368343E-2</v>
      </c>
      <c r="Z153" s="7">
        <f>+POWER(X153/S153,0.2)-1</f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/>
      <c r="L154" s="7"/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399">+SUM(C151:C154)+SUM(B155:B162)</f>
        <v>3.2080579999999999</v>
      </c>
      <c r="Q154" s="6">
        <f t="shared" si="399"/>
        <v>3.1921580000000005</v>
      </c>
      <c r="R154" s="6">
        <f t="shared" si="399"/>
        <v>2.8657890000000004</v>
      </c>
      <c r="S154" s="6">
        <f t="shared" si="399"/>
        <v>2.5863170000000002</v>
      </c>
      <c r="T154" s="6">
        <f t="shared" si="399"/>
        <v>2.609613</v>
      </c>
      <c r="U154" s="6">
        <f t="shared" si="399"/>
        <v>2.6529810000000005</v>
      </c>
      <c r="V154" s="6">
        <f t="shared" ref="V154" si="400">+SUM(I151:I154)+SUM(H155:H162)</f>
        <v>2.0591660000000003</v>
      </c>
      <c r="W154" s="67">
        <f t="shared" ref="W154" si="401">+SUM(J151:J154)+SUM(I155:I162)</f>
        <v>2.1811849999999997</v>
      </c>
      <c r="X154" s="37"/>
      <c r="Y154" s="78"/>
      <c r="Z154" s="7"/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/>
      <c r="L155" s="7"/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402">+SUM(C151:C155)+SUM(B156:B162)</f>
        <v>3.1456139999999997</v>
      </c>
      <c r="Q155" s="6">
        <f t="shared" si="402"/>
        <v>3.1766160000000001</v>
      </c>
      <c r="R155" s="6">
        <f t="shared" si="402"/>
        <v>2.9676720000000003</v>
      </c>
      <c r="S155" s="6">
        <f t="shared" si="402"/>
        <v>2.612034</v>
      </c>
      <c r="T155" s="6">
        <f t="shared" si="402"/>
        <v>2.7134619999999998</v>
      </c>
      <c r="U155" s="6">
        <f t="shared" si="402"/>
        <v>2.4801739999999999</v>
      </c>
      <c r="V155" s="6">
        <f t="shared" ref="V155" si="403">+SUM(I151:I155)+SUM(H156:H162)</f>
        <v>1.9543950000000001</v>
      </c>
      <c r="W155" s="67">
        <f t="shared" ref="W155" si="404">+SUM(J151:J155)+SUM(I156:I162)</f>
        <v>2.1688749999999999</v>
      </c>
      <c r="X155" s="37"/>
      <c r="Y155" s="78"/>
      <c r="Z155" s="7"/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/>
      <c r="L156" s="7"/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405">+SUM(C151:C156)+SUM(B157:B162)</f>
        <v>3.313761</v>
      </c>
      <c r="Q156" s="6">
        <f t="shared" si="405"/>
        <v>3.0907330000000002</v>
      </c>
      <c r="R156" s="6">
        <f t="shared" si="405"/>
        <v>3.0419299999999998</v>
      </c>
      <c r="S156" s="6">
        <f t="shared" si="405"/>
        <v>2.4788399999999999</v>
      </c>
      <c r="T156" s="6">
        <f t="shared" si="405"/>
        <v>2.8304879999999999</v>
      </c>
      <c r="U156" s="6">
        <f t="shared" si="405"/>
        <v>2.401872</v>
      </c>
      <c r="V156" s="6">
        <f t="shared" ref="V156" si="406">+SUM(I151:I156)+SUM(H157:H162)</f>
        <v>1.8430830000000002</v>
      </c>
      <c r="W156" s="67">
        <f t="shared" ref="W156" si="407">+SUM(J151:J156)+SUM(I157:I162)</f>
        <v>2.2051069999999999</v>
      </c>
      <c r="X156" s="67"/>
      <c r="Y156" s="78"/>
      <c r="Z156" s="7"/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/>
      <c r="L157" s="7"/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408">+SUM(C151:C157)+SUM(B158:B162)</f>
        <v>3.1673139999999993</v>
      </c>
      <c r="Q157" s="6">
        <f t="shared" si="408"/>
        <v>3.1629750000000003</v>
      </c>
      <c r="R157" s="6">
        <f t="shared" si="408"/>
        <v>2.9705959999999996</v>
      </c>
      <c r="S157" s="6">
        <f t="shared" si="408"/>
        <v>2.6002740000000002</v>
      </c>
      <c r="T157" s="6">
        <f t="shared" si="408"/>
        <v>2.6852299999999998</v>
      </c>
      <c r="U157" s="6">
        <f t="shared" si="408"/>
        <v>2.3607849999999999</v>
      </c>
      <c r="V157" s="6">
        <f t="shared" si="408"/>
        <v>1.902587</v>
      </c>
      <c r="W157" s="67">
        <f t="shared" ref="W157" si="409">+SUM(J151:J157)+SUM(I158:I162)</f>
        <v>2.226496</v>
      </c>
      <c r="X157" s="67"/>
      <c r="Y157" s="78"/>
      <c r="Z157" s="7"/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/>
      <c r="L158" s="7"/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410">+SUM(C151:C158)+SUM(B159:B162)</f>
        <v>3.3364739999999999</v>
      </c>
      <c r="Q158" s="6">
        <f t="shared" si="410"/>
        <v>3.0781640000000001</v>
      </c>
      <c r="R158" s="6">
        <f t="shared" si="410"/>
        <v>2.9077440000000001</v>
      </c>
      <c r="S158" s="6">
        <f t="shared" si="410"/>
        <v>2.5055990000000001</v>
      </c>
      <c r="T158" s="6">
        <f t="shared" si="410"/>
        <v>2.7060810000000002</v>
      </c>
      <c r="U158" s="6">
        <f t="shared" si="410"/>
        <v>2.329456</v>
      </c>
      <c r="V158" s="6">
        <f t="shared" si="410"/>
        <v>1.8575409999999999</v>
      </c>
      <c r="W158" s="67">
        <f t="shared" ref="W158" si="411">+SUM(J151:J158)+SUM(I159:I162)</f>
        <v>2.2317309999999999</v>
      </c>
      <c r="X158" s="67"/>
      <c r="Y158" s="78"/>
      <c r="Z158" s="7"/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/>
      <c r="L159" s="7"/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412">+SUM(C151:C159)+SUM(B160:B162)</f>
        <v>3.4238400000000002</v>
      </c>
      <c r="Q159" s="6">
        <f t="shared" si="412"/>
        <v>3.000537</v>
      </c>
      <c r="R159" s="6">
        <f t="shared" si="412"/>
        <v>2.7208459999999999</v>
      </c>
      <c r="S159" s="6">
        <f t="shared" si="412"/>
        <v>2.4836580000000001</v>
      </c>
      <c r="T159" s="6">
        <f t="shared" si="412"/>
        <v>2.8178520000000002</v>
      </c>
      <c r="U159" s="6">
        <f t="shared" si="412"/>
        <v>2.313078</v>
      </c>
      <c r="V159" s="6">
        <f t="shared" si="412"/>
        <v>1.795717</v>
      </c>
      <c r="W159" s="67">
        <f t="shared" ref="W159" si="413">+SUM(J151:J159)+SUM(I160:I162)</f>
        <v>2.344697</v>
      </c>
      <c r="X159" s="67"/>
      <c r="Y159" s="78"/>
      <c r="Z159" s="7"/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/>
      <c r="L160" s="7"/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414">+SUM(C151:C160)+SUM(B161:B162)</f>
        <v>3.3331499999999998</v>
      </c>
      <c r="Q160" s="6">
        <f t="shared" si="414"/>
        <v>2.991403</v>
      </c>
      <c r="R160" s="6">
        <f t="shared" si="414"/>
        <v>2.779455</v>
      </c>
      <c r="S160" s="6">
        <f t="shared" si="414"/>
        <v>2.4403309999999996</v>
      </c>
      <c r="T160" s="6">
        <f t="shared" si="414"/>
        <v>2.812964</v>
      </c>
      <c r="U160" s="6">
        <f t="shared" si="414"/>
        <v>2.276081</v>
      </c>
      <c r="V160" s="6">
        <f t="shared" ref="V160" si="415">+SUM(I151:I160)+SUM(H161:H162)</f>
        <v>1.963409</v>
      </c>
      <c r="W160" s="67">
        <f t="shared" ref="W160" si="416">+SUM(J151:J160)+SUM(I161:I162)</f>
        <v>2.2442470000000001</v>
      </c>
      <c r="X160" s="67"/>
      <c r="Y160" s="78"/>
      <c r="Z160" s="7"/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417">+SUM(C151:C161)+SUM(B162)</f>
        <v>3.421875</v>
      </c>
      <c r="Q161" s="6">
        <f t="shared" si="417"/>
        <v>3.2402090000000006</v>
      </c>
      <c r="R161" s="6">
        <f t="shared" si="417"/>
        <v>2.483654</v>
      </c>
      <c r="S161" s="6">
        <f t="shared" si="417"/>
        <v>2.5135039999999997</v>
      </c>
      <c r="T161" s="6">
        <f t="shared" si="417"/>
        <v>2.8266900000000001</v>
      </c>
      <c r="U161" s="6">
        <f t="shared" si="417"/>
        <v>2.1497299999999999</v>
      </c>
      <c r="V161" s="6">
        <f t="shared" ref="V161" si="418">+SUM(I151:I161)+SUM(H162)</f>
        <v>2.0582729999999998</v>
      </c>
      <c r="W161" s="67">
        <f t="shared" ref="W161" si="419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420">+SUM(C151:C162)</f>
        <v>3.3374360000000003</v>
      </c>
      <c r="Q162" s="6">
        <f t="shared" si="420"/>
        <v>3.1921630000000003</v>
      </c>
      <c r="R162" s="6">
        <f t="shared" si="420"/>
        <v>2.4307080000000001</v>
      </c>
      <c r="S162" s="6">
        <f t="shared" si="420"/>
        <v>2.4950109999999999</v>
      </c>
      <c r="T162" s="6">
        <f t="shared" si="420"/>
        <v>2.8684940000000001</v>
      </c>
      <c r="U162" s="6">
        <f t="shared" si="420"/>
        <v>2.0782939999999996</v>
      </c>
      <c r="V162" s="6">
        <f t="shared" ref="V162" si="421">+SUM(I151:I162)</f>
        <v>2.3498839999999999</v>
      </c>
      <c r="W162" s="67">
        <f t="shared" ref="W162" si="422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423">SUM(C151:C162)</f>
        <v>3.3374360000000003</v>
      </c>
      <c r="D163" s="159">
        <f t="shared" si="423"/>
        <v>3.1921630000000003</v>
      </c>
      <c r="E163" s="159">
        <f t="shared" si="423"/>
        <v>2.4307080000000001</v>
      </c>
      <c r="F163" s="159">
        <f t="shared" si="423"/>
        <v>2.4950109999999999</v>
      </c>
      <c r="G163" s="159">
        <f t="shared" ref="G163:I163" si="424">SUM(G151:G162)</f>
        <v>2.8684940000000001</v>
      </c>
      <c r="H163" s="159">
        <f t="shared" si="424"/>
        <v>2.0782939999999996</v>
      </c>
      <c r="I163" s="159">
        <f t="shared" si="424"/>
        <v>2.3498839999999999</v>
      </c>
      <c r="J163" s="216">
        <f t="shared" ref="J163" si="425">SUM(J151:J162)</f>
        <v>1.954761</v>
      </c>
      <c r="K163" s="216"/>
      <c r="L163" s="56"/>
      <c r="M163" s="3"/>
      <c r="N163" s="43" t="s">
        <v>14</v>
      </c>
      <c r="O163" s="46">
        <f t="shared" ref="O163" si="426">+AVERAGE(O151:O162)</f>
        <v>3.2511054166666664</v>
      </c>
      <c r="P163" s="46">
        <f>+AVERAGE(P151:P162)</f>
        <v>3.2704330833333324</v>
      </c>
      <c r="Q163" s="46">
        <f t="shared" ref="Q163:X163" si="427">+AVERAGE(Q151:Q162)</f>
        <v>3.1824047500000003</v>
      </c>
      <c r="R163" s="46">
        <f t="shared" si="427"/>
        <v>2.8546210833333334</v>
      </c>
      <c r="S163" s="46">
        <f t="shared" si="427"/>
        <v>2.5090019166666671</v>
      </c>
      <c r="T163" s="46">
        <f t="shared" si="427"/>
        <v>2.7490699166666666</v>
      </c>
      <c r="U163" s="46">
        <f t="shared" si="427"/>
        <v>2.4218705000000003</v>
      </c>
      <c r="V163" s="46">
        <f t="shared" si="427"/>
        <v>2.0177001666666663</v>
      </c>
      <c r="W163" s="68">
        <f t="shared" si="427"/>
        <v>2.1849601666666669</v>
      </c>
      <c r="X163" s="47">
        <f t="shared" si="427"/>
        <v>1.9366256666666668</v>
      </c>
      <c r="Y163" s="79">
        <f>+X163/W163-1</f>
        <v>-0.11365630540480487</v>
      </c>
      <c r="Z163" s="75">
        <f>+POWER(X163/S163,0.2)-1</f>
        <v>-5.0469459045631715E-2</v>
      </c>
    </row>
    <row r="164" spans="1:28" ht="25.5" x14ac:dyDescent="0.25">
      <c r="A164" s="57" t="s">
        <v>15</v>
      </c>
      <c r="B164" s="58">
        <f t="shared" ref="B164:G164" si="428">+B163/B$181</f>
        <v>1.2320367652285842E-2</v>
      </c>
      <c r="C164" s="58">
        <f t="shared" si="428"/>
        <v>1.4870130831546131E-2</v>
      </c>
      <c r="D164" s="58">
        <f t="shared" si="428"/>
        <v>1.1636427382913928E-2</v>
      </c>
      <c r="E164" s="58">
        <f t="shared" si="428"/>
        <v>7.9731765471346763E-3</v>
      </c>
      <c r="F164" s="58">
        <f t="shared" si="428"/>
        <v>6.3833554466800691E-3</v>
      </c>
      <c r="G164" s="58">
        <f t="shared" si="428"/>
        <v>9.9284810744825775E-3</v>
      </c>
      <c r="H164" s="58">
        <f t="shared" ref="H164" si="429">+H163/H$181</f>
        <v>8.4213367864304049E-3</v>
      </c>
      <c r="I164" s="58">
        <f t="shared" ref="I164:J164" si="430">+I163/I$360</f>
        <v>3.6030279194783168E-3</v>
      </c>
      <c r="J164" s="189">
        <f t="shared" si="430"/>
        <v>2.869521369905243E-3</v>
      </c>
      <c r="K164" s="234"/>
      <c r="L164" s="59"/>
      <c r="M164" s="3"/>
      <c r="N164" s="44" t="s">
        <v>15</v>
      </c>
      <c r="O164" s="48">
        <f t="shared" ref="O164:X164" si="431">+O163/O$181</f>
        <v>1.255599712033752E-2</v>
      </c>
      <c r="P164" s="48">
        <f t="shared" si="431"/>
        <v>1.359534622338018E-2</v>
      </c>
      <c r="Q164" s="48">
        <f t="shared" si="431"/>
        <v>1.3504702130052245E-2</v>
      </c>
      <c r="R164" s="48">
        <f t="shared" si="431"/>
        <v>9.635062449976901E-3</v>
      </c>
      <c r="S164" s="48">
        <f t="shared" si="431"/>
        <v>6.7355784194432769E-3</v>
      </c>
      <c r="T164" s="48">
        <f t="shared" si="431"/>
        <v>8.4769375573117769E-3</v>
      </c>
      <c r="U164" s="48">
        <f t="shared" si="431"/>
        <v>8.9492343224737009E-3</v>
      </c>
      <c r="V164" s="48">
        <f t="shared" si="431"/>
        <v>9.6152628900396959E-3</v>
      </c>
      <c r="W164" s="69">
        <f t="shared" si="431"/>
        <v>1.1717264805350942E-2</v>
      </c>
      <c r="X164" s="72">
        <f t="shared" si="431"/>
        <v>9.9798619299986402E-3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432">+D163/C163-1</f>
        <v>-4.3528325337174989E-2</v>
      </c>
      <c r="E165" s="62">
        <f t="shared" si="432"/>
        <v>-0.23853888413592916</v>
      </c>
      <c r="F165" s="62">
        <f t="shared" si="432"/>
        <v>2.6454432206583389E-2</v>
      </c>
      <c r="G165" s="62">
        <f t="shared" si="432"/>
        <v>0.14969192520594099</v>
      </c>
      <c r="H165" s="62">
        <f t="shared" si="432"/>
        <v>-0.27547556313522026</v>
      </c>
      <c r="I165" s="62">
        <f t="shared" si="432"/>
        <v>0.13067929753923191</v>
      </c>
      <c r="J165" s="190">
        <f t="shared" si="432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433">+Q163/P163-1</f>
        <v>-2.6916414765352892E-2</v>
      </c>
      <c r="R165" s="50">
        <f t="shared" ref="R165" si="434">+R163/Q163-1</f>
        <v>-0.10299873599254361</v>
      </c>
      <c r="S165" s="50">
        <f t="shared" ref="S165" si="435">+S163/R163-1</f>
        <v>-0.12107357038892452</v>
      </c>
      <c r="T165" s="50">
        <f t="shared" ref="T165" si="436">+T163/S163-1</f>
        <v>9.5682669034761636E-2</v>
      </c>
      <c r="U165" s="50">
        <f t="shared" ref="U165" si="437">+U163/T163-1</f>
        <v>-0.11902186069658272</v>
      </c>
      <c r="V165" s="50">
        <f t="shared" ref="V165" si="438">+V163/U163-1</f>
        <v>-0.16688354448899478</v>
      </c>
      <c r="W165" s="70">
        <f t="shared" ref="W165" si="439">+W163/V163-1</f>
        <v>8.2896360303286176E-2</v>
      </c>
      <c r="X165" s="73">
        <f t="shared" ref="X165" si="440">+X163/W163-1</f>
        <v>-0.11365630540480487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28" t="s">
        <v>63</v>
      </c>
      <c r="B167" s="329"/>
      <c r="C167" s="329"/>
      <c r="D167" s="329"/>
      <c r="E167" s="329"/>
      <c r="F167" s="329"/>
      <c r="G167" s="329"/>
      <c r="H167" s="329"/>
      <c r="I167" s="329"/>
      <c r="J167" s="329"/>
      <c r="K167" s="329"/>
      <c r="L167" s="330"/>
      <c r="M167" s="2"/>
      <c r="N167" s="328" t="s">
        <v>64</v>
      </c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30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441">+C168+1</f>
        <v>2018</v>
      </c>
      <c r="E168" s="39">
        <f t="shared" si="441"/>
        <v>2019</v>
      </c>
      <c r="F168" s="39">
        <f t="shared" si="441"/>
        <v>2020</v>
      </c>
      <c r="G168" s="39">
        <f t="shared" si="441"/>
        <v>2021</v>
      </c>
      <c r="H168" s="39">
        <f t="shared" ref="H168" si="442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443">+P168+1</f>
        <v>2018</v>
      </c>
      <c r="R168" s="64">
        <f t="shared" ref="R168" si="444">+Q168+1</f>
        <v>2019</v>
      </c>
      <c r="S168" s="64">
        <f t="shared" ref="S168" si="445">+R168+1</f>
        <v>2020</v>
      </c>
      <c r="T168" s="64">
        <f t="shared" ref="T168" si="446">+S168+1</f>
        <v>2021</v>
      </c>
      <c r="U168" s="64">
        <f t="shared" ref="U168" si="447">+T168+1</f>
        <v>2022</v>
      </c>
      <c r="V168" s="64">
        <f t="shared" ref="V168" si="448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449">+SUM(C169)+SUM(B170:B180)</f>
        <v>259.055971</v>
      </c>
      <c r="Q169" s="6">
        <f t="shared" si="449"/>
        <v>220.58967700000005</v>
      </c>
      <c r="R169" s="6">
        <f t="shared" si="449"/>
        <v>281.481919</v>
      </c>
      <c r="S169" s="6">
        <f t="shared" si="449"/>
        <v>319.63031000000001</v>
      </c>
      <c r="T169" s="6">
        <f t="shared" si="449"/>
        <v>373.95958499999995</v>
      </c>
      <c r="U169" s="6">
        <f t="shared" si="449"/>
        <v>283.72492499999998</v>
      </c>
      <c r="V169" s="6">
        <f t="shared" si="449"/>
        <v>246.74807699999997</v>
      </c>
      <c r="W169" s="67">
        <f t="shared" si="449"/>
        <v>182.48292899999998</v>
      </c>
      <c r="X169" s="37">
        <f t="shared" si="449"/>
        <v>193.66127900000001</v>
      </c>
      <c r="Y169" s="78">
        <f>+X169/W169-1</f>
        <v>6.1256962836233386E-2</v>
      </c>
      <c r="Z169" s="7">
        <f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>+K170/J170-1</f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450">+SUM(C169:C170)+SUM(B171:B180)</f>
        <v>254.318804</v>
      </c>
      <c r="Q170" s="6">
        <f t="shared" si="450"/>
        <v>219.71133000000003</v>
      </c>
      <c r="R170" s="6">
        <f t="shared" si="450"/>
        <v>288.09202700000003</v>
      </c>
      <c r="S170" s="6">
        <f t="shared" si="450"/>
        <v>339.61014</v>
      </c>
      <c r="T170" s="6">
        <f t="shared" si="450"/>
        <v>354.57125600000001</v>
      </c>
      <c r="U170" s="6">
        <f t="shared" si="450"/>
        <v>283.721047</v>
      </c>
      <c r="V170" s="6">
        <f t="shared" si="450"/>
        <v>238.46794799999998</v>
      </c>
      <c r="W170" s="67">
        <f t="shared" si="450"/>
        <v>181.62638199999998</v>
      </c>
      <c r="X170" s="67">
        <f>+SUM(K169:K170)+SUM(J171:J180)</f>
        <v>194.18433599999997</v>
      </c>
      <c r="Y170" s="78">
        <f>+X170/W170-1</f>
        <v>6.9141684493830846E-2</v>
      </c>
      <c r="Z170" s="7">
        <f>+POWER(X170/S170,0.2)-1</f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15.940182</v>
      </c>
      <c r="L171" s="7">
        <f>+K171/J171-1</f>
        <v>8.2293727259359351E-3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451">+SUM(C169:C171)+SUM(B172:B180)</f>
        <v>250.01084399999999</v>
      </c>
      <c r="Q171" s="6">
        <f t="shared" si="451"/>
        <v>221.41861100000003</v>
      </c>
      <c r="R171" s="6">
        <f t="shared" si="451"/>
        <v>290.77498600000001</v>
      </c>
      <c r="S171" s="6">
        <f t="shared" si="451"/>
        <v>354.38986399999999</v>
      </c>
      <c r="T171" s="6">
        <f t="shared" si="451"/>
        <v>345.04921300000001</v>
      </c>
      <c r="U171" s="6">
        <f t="shared" si="451"/>
        <v>279.76810499999999</v>
      </c>
      <c r="V171" s="6">
        <f t="shared" si="451"/>
        <v>232.19155499999999</v>
      </c>
      <c r="W171" s="67">
        <f t="shared" si="451"/>
        <v>181.14049300000002</v>
      </c>
      <c r="X171" s="67">
        <f t="shared" ref="X171" si="452">+SUM(K169:K171)+SUM(J172:J180)</f>
        <v>194.31444299999998</v>
      </c>
      <c r="Y171" s="78">
        <f>+X171/W171-1</f>
        <v>7.2727802501895367E-2</v>
      </c>
      <c r="Z171" s="7">
        <f>+POWER(X171/S171,0.2)-1</f>
        <v>-0.11324272934781487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/>
      <c r="L172" s="7"/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453">+SUM(C169:C172)+SUM(B173:B180)</f>
        <v>246.050648</v>
      </c>
      <c r="Q172" s="6">
        <f t="shared" si="453"/>
        <v>223.39607700000002</v>
      </c>
      <c r="R172" s="6">
        <f t="shared" si="453"/>
        <v>294.86346400000002</v>
      </c>
      <c r="S172" s="6">
        <f t="shared" si="453"/>
        <v>358.17463999999995</v>
      </c>
      <c r="T172" s="6">
        <f t="shared" si="453"/>
        <v>339.38110899999998</v>
      </c>
      <c r="U172" s="6">
        <f t="shared" si="453"/>
        <v>280.67388400000004</v>
      </c>
      <c r="V172" s="6">
        <f t="shared" ref="V172" si="454">+SUM(I169:I172)+SUM(H173:H180)</f>
        <v>225.58339599999999</v>
      </c>
      <c r="W172" s="67">
        <f t="shared" ref="W172" si="455">+SUM(J169:J172)+SUM(I173:I180)</f>
        <v>180.84667099999999</v>
      </c>
      <c r="X172" s="37"/>
      <c r="Y172" s="78"/>
      <c r="Z172" s="7"/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/>
      <c r="L173" s="7"/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456">+SUM(C169:C173)+SUM(B174:B180)</f>
        <v>240.066058</v>
      </c>
      <c r="Q173" s="6">
        <f t="shared" si="456"/>
        <v>224.07953499999999</v>
      </c>
      <c r="R173" s="6">
        <f t="shared" si="456"/>
        <v>300.02586400000001</v>
      </c>
      <c r="S173" s="6">
        <f t="shared" si="456"/>
        <v>368.87575100000004</v>
      </c>
      <c r="T173" s="6">
        <f t="shared" si="456"/>
        <v>335.944118</v>
      </c>
      <c r="U173" s="6">
        <f t="shared" si="456"/>
        <v>274.45466799999997</v>
      </c>
      <c r="V173" s="6">
        <f t="shared" ref="V173" si="457">+SUM(I169:I173)+SUM(H174:H180)</f>
        <v>217.18349000000001</v>
      </c>
      <c r="W173" s="67">
        <f t="shared" ref="W173" si="458">+SUM(J169:J173)+SUM(I174:I180)</f>
        <v>181.22745600000002</v>
      </c>
      <c r="X173" s="37"/>
      <c r="Y173" s="78"/>
      <c r="Z173" s="7"/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/>
      <c r="L174" s="7"/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459">+SUM(C169:C174)+SUM(B175:B180)</f>
        <v>242.20727899999997</v>
      </c>
      <c r="Q174" s="6">
        <f t="shared" si="459"/>
        <v>220.21077300000002</v>
      </c>
      <c r="R174" s="6">
        <f t="shared" si="459"/>
        <v>302.07805800000006</v>
      </c>
      <c r="S174" s="6">
        <f t="shared" si="459"/>
        <v>376.22332</v>
      </c>
      <c r="T174" s="6">
        <f t="shared" si="459"/>
        <v>332.23613</v>
      </c>
      <c r="U174" s="6">
        <f t="shared" si="459"/>
        <v>274.009365</v>
      </c>
      <c r="V174" s="6">
        <f t="shared" ref="V174" si="460">+SUM(I169:I174)+SUM(H175:H180)</f>
        <v>207.98465100000001</v>
      </c>
      <c r="W174" s="67">
        <f t="shared" ref="W174" si="461">+SUM(J169:J174)+SUM(I175:I180)</f>
        <v>178.03922800000001</v>
      </c>
      <c r="X174" s="67"/>
      <c r="Y174" s="78"/>
      <c r="Z174" s="7"/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/>
      <c r="L175" s="7"/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462">+SUM(C169:C175)+SUM(B176:B180)</f>
        <v>242.06469899999999</v>
      </c>
      <c r="Q175" s="6">
        <f t="shared" si="462"/>
        <v>222.04240599999997</v>
      </c>
      <c r="R175" s="6">
        <f t="shared" si="462"/>
        <v>306.92342299999996</v>
      </c>
      <c r="S175" s="6">
        <f t="shared" si="462"/>
        <v>379.55647699999997</v>
      </c>
      <c r="T175" s="6">
        <f t="shared" si="462"/>
        <v>325.73356799999999</v>
      </c>
      <c r="U175" s="6">
        <f t="shared" si="462"/>
        <v>265.78592300000003</v>
      </c>
      <c r="V175" s="6">
        <f t="shared" si="462"/>
        <v>207.54356999999999</v>
      </c>
      <c r="W175" s="67">
        <f t="shared" ref="W175" si="463">+SUM(J169:J175)+SUM(I176:I180)</f>
        <v>186.35934500000002</v>
      </c>
      <c r="X175" s="67"/>
      <c r="Y175" s="78"/>
      <c r="Z175" s="7"/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/>
      <c r="L176" s="7"/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464">+SUM(C169:C176)+SUM(B177:B180)</f>
        <v>238.15090000000001</v>
      </c>
      <c r="Q176" s="6">
        <f t="shared" si="464"/>
        <v>229.09731299999999</v>
      </c>
      <c r="R176" s="6">
        <f t="shared" si="464"/>
        <v>305.88414599999999</v>
      </c>
      <c r="S176" s="6">
        <f t="shared" si="464"/>
        <v>391.88705100000004</v>
      </c>
      <c r="T176" s="6">
        <f t="shared" si="464"/>
        <v>305.26526999999999</v>
      </c>
      <c r="U176" s="6">
        <f t="shared" si="464"/>
        <v>270.84530799999999</v>
      </c>
      <c r="V176" s="6">
        <f t="shared" si="464"/>
        <v>196.734824</v>
      </c>
      <c r="W176" s="67">
        <f t="shared" ref="W176" si="465">+SUM(J169:J176)+SUM(I177:I180)</f>
        <v>192.30607800000001</v>
      </c>
      <c r="X176" s="67"/>
      <c r="Y176" s="78"/>
      <c r="Z176" s="7"/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/>
      <c r="L177" s="7"/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466">+SUM(C169:C177)+SUM(B178:B180)</f>
        <v>233.14478400000002</v>
      </c>
      <c r="Q177" s="6">
        <f t="shared" si="466"/>
        <v>246.906971</v>
      </c>
      <c r="R177" s="6">
        <f t="shared" si="466"/>
        <v>295.26413500000001</v>
      </c>
      <c r="S177" s="6">
        <f t="shared" si="466"/>
        <v>393.01795400000003</v>
      </c>
      <c r="T177" s="6">
        <f t="shared" si="466"/>
        <v>303.07212200000004</v>
      </c>
      <c r="U177" s="6">
        <f t="shared" si="466"/>
        <v>268.83706000000001</v>
      </c>
      <c r="V177" s="6">
        <f t="shared" si="466"/>
        <v>189.92894899999999</v>
      </c>
      <c r="W177" s="67">
        <f t="shared" ref="W177" si="467">+SUM(J169:J177)+SUM(I178:I180)</f>
        <v>193.09485599999999</v>
      </c>
      <c r="X177" s="67"/>
      <c r="Y177" s="78"/>
      <c r="Z177" s="7"/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/>
      <c r="L178" s="7"/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468">+SUM(C169:C178)+SUM(B179:B180)</f>
        <v>229.79987100000002</v>
      </c>
      <c r="Q178" s="6">
        <f t="shared" si="468"/>
        <v>259.24640600000004</v>
      </c>
      <c r="R178" s="6">
        <f t="shared" si="468"/>
        <v>291.85739000000001</v>
      </c>
      <c r="S178" s="6">
        <f t="shared" si="468"/>
        <v>395.17814500000003</v>
      </c>
      <c r="T178" s="6">
        <f t="shared" si="468"/>
        <v>297.336524</v>
      </c>
      <c r="U178" s="6">
        <f t="shared" si="468"/>
        <v>264.36860799999999</v>
      </c>
      <c r="V178" s="6">
        <f t="shared" ref="V178" si="469">+SUM(I169:I178)+SUM(H179:H180)</f>
        <v>186.26324</v>
      </c>
      <c r="W178" s="67">
        <f t="shared" ref="W178" si="470">+SUM(J169:J178)+SUM(I179:I180)</f>
        <v>191.575591</v>
      </c>
      <c r="X178" s="67"/>
      <c r="Y178" s="78"/>
      <c r="Z178" s="7"/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471">+SUM(C169:C179)+SUM(B180)</f>
        <v>227.35526500000003</v>
      </c>
      <c r="Q179" s="6">
        <f t="shared" si="471"/>
        <v>266.79517200000004</v>
      </c>
      <c r="R179" s="6">
        <f t="shared" si="471"/>
        <v>293.18513799999999</v>
      </c>
      <c r="S179" s="6">
        <f t="shared" si="471"/>
        <v>402.59249900000003</v>
      </c>
      <c r="T179" s="6">
        <f t="shared" si="471"/>
        <v>290.13409000000001</v>
      </c>
      <c r="U179" s="6">
        <f t="shared" si="471"/>
        <v>254.50051599999998</v>
      </c>
      <c r="V179" s="6">
        <f t="shared" ref="V179" si="472">+SUM(I169:I179)+SUM(H180)</f>
        <v>184.525218</v>
      </c>
      <c r="W179" s="67">
        <f t="shared" ref="W179" si="473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474">+SUM(C169:C180)</f>
        <v>224.43891300000004</v>
      </c>
      <c r="Q180" s="6">
        <f t="shared" si="474"/>
        <v>274.32500500000003</v>
      </c>
      <c r="R180" s="6">
        <f t="shared" si="474"/>
        <v>304.86067700000001</v>
      </c>
      <c r="S180" s="6">
        <f t="shared" si="474"/>
        <v>390.861988</v>
      </c>
      <c r="T180" s="6">
        <f t="shared" si="474"/>
        <v>288.91569400000003</v>
      </c>
      <c r="U180" s="6">
        <f t="shared" si="474"/>
        <v>246.78908499999997</v>
      </c>
      <c r="V180" s="6">
        <f t="shared" si="474"/>
        <v>184.966768</v>
      </c>
      <c r="W180" s="67">
        <f t="shared" si="474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475">SUM(C169:C180)</f>
        <v>224.43891300000004</v>
      </c>
      <c r="D181" s="159">
        <f t="shared" si="475"/>
        <v>274.32500500000003</v>
      </c>
      <c r="E181" s="159">
        <f t="shared" si="475"/>
        <v>304.86067700000001</v>
      </c>
      <c r="F181" s="159">
        <f t="shared" si="475"/>
        <v>390.861988</v>
      </c>
      <c r="G181" s="159">
        <f t="shared" ref="G181:H181" si="476">SUM(G169:G180)</f>
        <v>288.91569400000003</v>
      </c>
      <c r="H181" s="159">
        <f t="shared" si="476"/>
        <v>246.78908499999997</v>
      </c>
      <c r="I181" s="159">
        <f t="shared" ref="I181:J181" si="477">SUM(I169:I180)</f>
        <v>184.966768</v>
      </c>
      <c r="J181" s="216">
        <f t="shared" si="477"/>
        <v>195.32641699999999</v>
      </c>
      <c r="K181" s="216"/>
      <c r="L181" s="56"/>
      <c r="M181" s="3"/>
      <c r="N181" s="43" t="s">
        <v>14</v>
      </c>
      <c r="O181" s="46">
        <f t="shared" ref="O181" si="478">+AVERAGE(O169:O180)</f>
        <v>258.92849333333334</v>
      </c>
      <c r="P181" s="46">
        <f>+AVERAGE(P169:P180)</f>
        <v>240.55533633333334</v>
      </c>
      <c r="Q181" s="46">
        <f t="shared" ref="Q181:X181" si="479">+AVERAGE(Q169:Q180)</f>
        <v>235.65160633333338</v>
      </c>
      <c r="R181" s="46">
        <f t="shared" si="479"/>
        <v>296.27426891666664</v>
      </c>
      <c r="S181" s="46">
        <f t="shared" si="479"/>
        <v>372.49984491666663</v>
      </c>
      <c r="T181" s="46">
        <f t="shared" si="479"/>
        <v>324.29988991666664</v>
      </c>
      <c r="U181" s="46">
        <f t="shared" si="479"/>
        <v>270.62320783333331</v>
      </c>
      <c r="V181" s="46">
        <f t="shared" si="479"/>
        <v>209.84347383333338</v>
      </c>
      <c r="W181" s="68">
        <f t="shared" si="479"/>
        <v>186.47356725</v>
      </c>
      <c r="X181" s="47">
        <f t="shared" si="479"/>
        <v>194.05335266666665</v>
      </c>
      <c r="Y181" s="79">
        <f>+X181/W181-1</f>
        <v>4.0648042124408201E-2</v>
      </c>
      <c r="Z181" s="75">
        <f>+POWER(X181/S181,0.2)-1</f>
        <v>-0.12227390375989478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480">+D181/C181-1</f>
        <v>0.22227024419780528</v>
      </c>
      <c r="E182" s="62">
        <f t="shared" si="480"/>
        <v>0.11131202567553022</v>
      </c>
      <c r="F182" s="62">
        <f t="shared" si="480"/>
        <v>0.28210037400133436</v>
      </c>
      <c r="G182" s="62">
        <f t="shared" si="480"/>
        <v>-0.26082427334939506</v>
      </c>
      <c r="H182" s="62">
        <f t="shared" si="480"/>
        <v>-0.14580934810692581</v>
      </c>
      <c r="I182" s="62">
        <f t="shared" si="480"/>
        <v>-0.25050669076389653</v>
      </c>
      <c r="J182" s="190">
        <f t="shared" si="480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481">+Q181/P181-1</f>
        <v>-2.038503936243985E-2</v>
      </c>
      <c r="R182" s="50">
        <f t="shared" si="481"/>
        <v>0.25725546083306328</v>
      </c>
      <c r="S182" s="50">
        <f t="shared" si="481"/>
        <v>0.25728044584742538</v>
      </c>
      <c r="T182" s="50">
        <f t="shared" si="481"/>
        <v>-0.12939590622053276</v>
      </c>
      <c r="U182" s="50">
        <f t="shared" si="481"/>
        <v>-0.16551557293814156</v>
      </c>
      <c r="V182" s="50">
        <f t="shared" si="481"/>
        <v>-0.22459172842793251</v>
      </c>
      <c r="W182" s="70">
        <f t="shared" si="481"/>
        <v>-0.11136827920555081</v>
      </c>
      <c r="X182" s="70">
        <f t="shared" si="481"/>
        <v>4.0648042124408201E-2</v>
      </c>
      <c r="Y182" s="51"/>
      <c r="Z182" s="52"/>
    </row>
    <row r="183" spans="1:26" ht="15.75" thickBot="1" x14ac:dyDescent="0.3"/>
    <row r="184" spans="1:26" ht="15.75" thickBot="1" x14ac:dyDescent="0.3">
      <c r="A184" s="335" t="s">
        <v>118</v>
      </c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7"/>
      <c r="M184" s="2"/>
      <c r="N184" s="335" t="s">
        <v>119</v>
      </c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7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482">+C185+1</f>
        <v>2018</v>
      </c>
      <c r="E185" s="82">
        <f t="shared" si="482"/>
        <v>2019</v>
      </c>
      <c r="F185" s="82">
        <f t="shared" si="482"/>
        <v>2020</v>
      </c>
      <c r="G185" s="82">
        <f t="shared" si="482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483">+P185+1</f>
        <v>2018</v>
      </c>
      <c r="R185" s="82">
        <f t="shared" si="483"/>
        <v>2019</v>
      </c>
      <c r="S185" s="82">
        <f t="shared" si="483"/>
        <v>2020</v>
      </c>
      <c r="T185" s="82">
        <f t="shared" si="483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484">+SUM(D186)+SUM(C187:C197)</f>
        <v>264.96899999999999</v>
      </c>
      <c r="R186" s="6">
        <f t="shared" ref="R186:X186" si="485">+SUM(E186)+SUM(D187:D197)</f>
        <v>257.49799999999999</v>
      </c>
      <c r="S186" s="6">
        <f t="shared" si="485"/>
        <v>242.83399999999997</v>
      </c>
      <c r="T186" s="6">
        <f t="shared" si="485"/>
        <v>225.37899999999999</v>
      </c>
      <c r="U186" s="6">
        <f t="shared" si="485"/>
        <v>239.07100000000003</v>
      </c>
      <c r="V186" s="6">
        <f t="shared" si="485"/>
        <v>238.06099999999998</v>
      </c>
      <c r="W186" s="105">
        <f t="shared" si="485"/>
        <v>179.255</v>
      </c>
      <c r="X186" s="105">
        <f t="shared" si="485"/>
        <v>191.84199999999998</v>
      </c>
      <c r="Y186" s="117">
        <f>+X186/W186-1</f>
        <v>7.0218403949680486E-2</v>
      </c>
      <c r="Z186" s="113">
        <f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>+K187/J187-1</f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486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487">+SUM(J186:J187)+SUM(I188:I197)</f>
        <v>178.76599999999999</v>
      </c>
      <c r="X187" s="105">
        <f t="shared" ref="X187" si="488">+SUM(K186:K187)+SUM(J188:J197)</f>
        <v>192.93100000000001</v>
      </c>
      <c r="Y187" s="117">
        <f>+X187/W187-1</f>
        <v>7.9237662642784645E-2</v>
      </c>
      <c r="Z187" s="113">
        <f>+POWER(X187/S187,0.2)-1</f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21.539000000000001</v>
      </c>
      <c r="L188" s="91">
        <f>+K188/J188-1</f>
        <v>9.9489535477284452E-2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489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490">+SUM(I186:I188)+SUM(H189:H197)</f>
        <v>228.36700000000002</v>
      </c>
      <c r="W188" s="105">
        <f t="shared" ref="W188" si="491">+SUM(J186:J188)+SUM(I189:I197)</f>
        <v>181.495</v>
      </c>
      <c r="X188" s="105">
        <f t="shared" ref="X188" si="492">+SUM(K186:K188)+SUM(J189:J197)</f>
        <v>194.88</v>
      </c>
      <c r="Y188" s="117">
        <f>+X188/W188-1</f>
        <v>7.3748588115374991E-2</v>
      </c>
      <c r="Z188" s="113">
        <f>+POWER(X188/S188,0.2)-1</f>
        <v>-4.1122896436657674E-2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/>
      <c r="L189" s="91"/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493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494">+SUM(I186:I189)+SUM(H190:H197)</f>
        <v>223.06899999999999</v>
      </c>
      <c r="W189" s="67">
        <f t="shared" ref="W189" si="495">+SUM(J186:J189)+SUM(I190:I197)</f>
        <v>181.50200000000001</v>
      </c>
      <c r="X189" s="37"/>
      <c r="Y189" s="78"/>
      <c r="Z189" s="7"/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/>
      <c r="L190" s="91"/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496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497">+SUM(I186:I190)+SUM(H191:H197)</f>
        <v>208.20699999999999</v>
      </c>
      <c r="W190" s="105">
        <f t="shared" ref="W190" si="498">+SUM(J186:J190)+SUM(I191:I197)</f>
        <v>183.16699999999997</v>
      </c>
      <c r="X190" s="105"/>
      <c r="Y190" s="117"/>
      <c r="Z190" s="113"/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/>
      <c r="L191" s="91"/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499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500">+SUM(I186:I191)+SUM(H192:H197)</f>
        <v>198.72399999999999</v>
      </c>
      <c r="W191" s="105">
        <f t="shared" ref="W191" si="501">+SUM(J186:J191)+SUM(I192:I197)</f>
        <v>178.88399999999999</v>
      </c>
      <c r="X191" s="105"/>
      <c r="Y191" s="117"/>
      <c r="Z191" s="113"/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/>
      <c r="L192" s="91"/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502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503">+SUM(I186:I192)+SUM(H193:H197)</f>
        <v>198.529</v>
      </c>
      <c r="W192" s="105">
        <f t="shared" ref="W192" si="504">+SUM(J186:J192)+SUM(I193:I197)</f>
        <v>189.20799999999997</v>
      </c>
      <c r="X192" s="105"/>
      <c r="Y192" s="117"/>
      <c r="Z192" s="113"/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/>
      <c r="L193" s="91"/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50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506">+SUM(I186:I193)+SUM(H194:H197)</f>
        <v>186.11199999999999</v>
      </c>
      <c r="W193" s="105">
        <f t="shared" ref="W193" si="507">+SUM(J186:J193)+SUM(I194:I197)</f>
        <v>195.03699999999998</v>
      </c>
      <c r="X193" s="105"/>
      <c r="Y193" s="117"/>
      <c r="Z193" s="113"/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/>
      <c r="L194" s="91"/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508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509">+SUM(I186:I194)+SUM(H195:H197)</f>
        <v>184.00799999999998</v>
      </c>
      <c r="W194" s="105">
        <f t="shared" ref="W194" si="510">+SUM(J186:J194)+SUM(I195:I197)</f>
        <v>192.41200000000001</v>
      </c>
      <c r="X194" s="105"/>
      <c r="Y194" s="117"/>
      <c r="Z194" s="113"/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/>
      <c r="L195" s="91"/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511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512">+SUM(I186:I195)+SUM(H196:H197)</f>
        <v>180.02699999999999</v>
      </c>
      <c r="W195" s="105">
        <f t="shared" ref="W195" si="513">+SUM(J186:J195)+SUM(I196:I197)</f>
        <v>191.565</v>
      </c>
      <c r="X195" s="105"/>
      <c r="Y195" s="117"/>
      <c r="Z195" s="113"/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514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515">+SUM(I186:I196)+SUM(H197)</f>
        <v>181.863</v>
      </c>
      <c r="W196" s="105">
        <f t="shared" ref="W196" si="516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517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518">+SUM(I186:I197)</f>
        <v>180.32899999999998</v>
      </c>
      <c r="W197" s="105">
        <f t="shared" ref="W197" si="519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520">SUM(C186:C197)</f>
        <v>269.83999999999997</v>
      </c>
      <c r="D198" s="83">
        <f t="shared" si="520"/>
        <v>260.35500000000002</v>
      </c>
      <c r="E198" s="83">
        <f t="shared" si="520"/>
        <v>244.32699999999997</v>
      </c>
      <c r="F198" s="83">
        <f t="shared" si="520"/>
        <v>225.197</v>
      </c>
      <c r="G198" s="83">
        <f t="shared" ref="G198" si="521">SUM(G186:G197)</f>
        <v>240.30900000000003</v>
      </c>
      <c r="H198" s="83">
        <f t="shared" ref="H198" si="522">SUM(H186:H197)</f>
        <v>235.803</v>
      </c>
      <c r="I198" s="83">
        <f t="shared" ref="I198:J198" si="523">SUM(I186:I197)</f>
        <v>180.32899999999998</v>
      </c>
      <c r="J198" s="107">
        <f t="shared" si="523"/>
        <v>197.34899999999999</v>
      </c>
      <c r="K198" s="83"/>
      <c r="L198" s="94"/>
      <c r="M198" s="3"/>
      <c r="N198" s="92" t="s">
        <v>14</v>
      </c>
      <c r="O198" s="106">
        <f t="shared" ref="O198" si="524">+AVERAGE(O186:O197)</f>
        <v>288.50166666666672</v>
      </c>
      <c r="P198" s="83">
        <f>+AVERAGE(P186:P197)</f>
        <v>278.32033333333339</v>
      </c>
      <c r="Q198" s="83">
        <f t="shared" ref="Q198:T198" si="525">+AVERAGE(Q186:Q197)</f>
        <v>263.06733333333335</v>
      </c>
      <c r="R198" s="83">
        <f t="shared" si="525"/>
        <v>253.63441666666665</v>
      </c>
      <c r="S198" s="83">
        <f t="shared" si="525"/>
        <v>234.98575000000002</v>
      </c>
      <c r="T198" s="83">
        <f t="shared" si="525"/>
        <v>230.03441666666666</v>
      </c>
      <c r="U198" s="83">
        <f t="shared" ref="U198:X198" si="526">+AVERAGE(U186:U197)</f>
        <v>243.90733333333336</v>
      </c>
      <c r="V198" s="83">
        <f t="shared" si="526"/>
        <v>203.20541666666668</v>
      </c>
      <c r="W198" s="107">
        <f t="shared" si="526"/>
        <v>186.73066666666668</v>
      </c>
      <c r="X198" s="107">
        <f t="shared" si="526"/>
        <v>193.21766666666667</v>
      </c>
      <c r="Y198" s="119">
        <f>+X198/W198-1</f>
        <v>3.4739874900034273E-2</v>
      </c>
      <c r="Z198" s="173">
        <f>+POWER(X198/S198,0.2)-1</f>
        <v>-3.8385371650639044E-2</v>
      </c>
    </row>
    <row r="199" spans="1:26" ht="25.5" x14ac:dyDescent="0.25">
      <c r="A199" s="95" t="s">
        <v>15</v>
      </c>
      <c r="B199" s="108">
        <f t="shared" ref="B199:G199" si="527">+B198/B$360</f>
        <v>0.36737199844275281</v>
      </c>
      <c r="C199" s="84">
        <f t="shared" si="527"/>
        <v>0.33481982216729572</v>
      </c>
      <c r="D199" s="84">
        <f t="shared" si="527"/>
        <v>0.31586513964040475</v>
      </c>
      <c r="E199" s="84">
        <f t="shared" si="527"/>
        <v>0.30690722452373709</v>
      </c>
      <c r="F199" s="84">
        <f t="shared" si="527"/>
        <v>0.28864601171005816</v>
      </c>
      <c r="G199" s="84">
        <f t="shared" si="527"/>
        <v>0.29078595180128075</v>
      </c>
      <c r="H199" s="84">
        <f t="shared" ref="H199" si="528">+H198/H$360</f>
        <v>0.29941717246108135</v>
      </c>
      <c r="I199" s="84">
        <f t="shared" ref="I199:J199" si="529">+I198/I$360</f>
        <v>0.27649467875503869</v>
      </c>
      <c r="J199" s="109">
        <f t="shared" si="529"/>
        <v>0.2897014892508239</v>
      </c>
      <c r="K199" s="84"/>
      <c r="L199" s="97"/>
      <c r="M199" s="3"/>
      <c r="N199" s="95" t="s">
        <v>15</v>
      </c>
      <c r="O199" s="108">
        <f t="shared" ref="O199:T199" si="530">+O198/O$360</f>
        <v>0.35844170903853911</v>
      </c>
      <c r="P199" s="84">
        <f t="shared" si="530"/>
        <v>0.34336834791706028</v>
      </c>
      <c r="Q199" s="84">
        <f t="shared" si="530"/>
        <v>0.32473830333513248</v>
      </c>
      <c r="R199" s="84">
        <f t="shared" si="530"/>
        <v>0.31044154603227897</v>
      </c>
      <c r="S199" s="84">
        <f t="shared" si="530"/>
        <v>0.298907712265436</v>
      </c>
      <c r="T199" s="84">
        <f t="shared" si="530"/>
        <v>0.28687537815637815</v>
      </c>
      <c r="U199" s="84">
        <f t="shared" ref="U199:V199" si="531">+U198/U$360</f>
        <v>0.29800703352020153</v>
      </c>
      <c r="V199" s="84">
        <f t="shared" si="531"/>
        <v>0.2852555006495987</v>
      </c>
      <c r="W199" s="109">
        <f t="shared" ref="W199:X199" si="532">+W198/W$360</f>
        <v>0.28550292578423331</v>
      </c>
      <c r="X199" s="109">
        <f t="shared" si="532"/>
        <v>0.28498124880777032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533">+D198/C198-1</f>
        <v>-3.5150459531574141E-2</v>
      </c>
      <c r="E200" s="85">
        <f t="shared" si="533"/>
        <v>-6.1562097904784063E-2</v>
      </c>
      <c r="F200" s="85">
        <f t="shared" si="533"/>
        <v>-7.829670891878493E-2</v>
      </c>
      <c r="G200" s="85">
        <f t="shared" si="533"/>
        <v>6.71056896850315E-2</v>
      </c>
      <c r="H200" s="85">
        <f t="shared" si="533"/>
        <v>-1.8750858269977466E-2</v>
      </c>
      <c r="I200" s="85">
        <f t="shared" si="533"/>
        <v>-0.23525570073323931</v>
      </c>
      <c r="J200" s="111">
        <f t="shared" si="533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534">+Q198/P198-1</f>
        <v>-5.480375730123932E-2</v>
      </c>
      <c r="R200" s="85">
        <f t="shared" si="534"/>
        <v>-3.5857423067858551E-2</v>
      </c>
      <c r="S200" s="85">
        <f t="shared" si="534"/>
        <v>-7.3525773480399681E-2</v>
      </c>
      <c r="T200" s="85">
        <f t="shared" si="534"/>
        <v>-2.1070781242408798E-2</v>
      </c>
      <c r="U200" s="85">
        <f t="shared" si="534"/>
        <v>6.0308004635538426E-2</v>
      </c>
      <c r="V200" s="85">
        <f t="shared" si="534"/>
        <v>-0.16687450971817164</v>
      </c>
      <c r="W200" s="111">
        <f t="shared" si="534"/>
        <v>-8.107436440547644E-2</v>
      </c>
      <c r="X200" s="111">
        <f t="shared" si="534"/>
        <v>3.4739874900034273E-2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35" t="s">
        <v>120</v>
      </c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7"/>
      <c r="M202" s="2"/>
      <c r="N202" s="335" t="s">
        <v>121</v>
      </c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7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535">+C203+1</f>
        <v>2018</v>
      </c>
      <c r="E203" s="82">
        <f t="shared" si="535"/>
        <v>2019</v>
      </c>
      <c r="F203" s="82">
        <f t="shared" si="535"/>
        <v>2020</v>
      </c>
      <c r="G203" s="82">
        <f t="shared" si="535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36">+P203+1</f>
        <v>2018</v>
      </c>
      <c r="R203" s="82">
        <f t="shared" ref="R203" si="537">+Q203+1</f>
        <v>2019</v>
      </c>
      <c r="S203" s="82">
        <f t="shared" ref="S203" si="538">+R203+1</f>
        <v>2020</v>
      </c>
      <c r="T203" s="82">
        <f t="shared" ref="T203" si="539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540">+SUM(D204)+SUM(C205:C215)</f>
        <v>100.062</v>
      </c>
      <c r="R204" s="6">
        <f t="shared" ref="R204:X204" si="541">+SUM(E204)+SUM(D205:D215)</f>
        <v>108.786</v>
      </c>
      <c r="S204" s="6">
        <f t="shared" si="541"/>
        <v>114.94299999999998</v>
      </c>
      <c r="T204" s="6">
        <f t="shared" si="541"/>
        <v>124.02399999999999</v>
      </c>
      <c r="U204" s="6">
        <f t="shared" si="541"/>
        <v>127.24099999999999</v>
      </c>
      <c r="V204" s="6">
        <f t="shared" si="541"/>
        <v>110.09</v>
      </c>
      <c r="W204" s="105">
        <f t="shared" si="541"/>
        <v>101.845</v>
      </c>
      <c r="X204" s="105">
        <f t="shared" si="541"/>
        <v>105.90099999999998</v>
      </c>
      <c r="Y204" s="117">
        <f>+X204/W204-1</f>
        <v>3.9825224606018894E-2</v>
      </c>
      <c r="Z204" s="113">
        <f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>+K205/J205-1</f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542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543">+SUM(J204:J205)+SUM(I206:I215)</f>
        <v>103.16199999999999</v>
      </c>
      <c r="X205" s="105">
        <f t="shared" ref="X205" si="544">+SUM(K204:K205)+SUM(J206:J215)</f>
        <v>105.24100000000001</v>
      </c>
      <c r="Y205" s="117">
        <f>+X205/W205-1</f>
        <v>2.0152769430604511E-2</v>
      </c>
      <c r="Z205" s="113">
        <f>+POWER(X205/S205,0.2)-1</f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6.367</v>
      </c>
      <c r="L206" s="91">
        <f>+K206/J206-1</f>
        <v>-0.31345697649342241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545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546">+SUM(I204:I206)+SUM(H207:H215)</f>
        <v>104.42100000000001</v>
      </c>
      <c r="W206" s="105">
        <f t="shared" ref="W206" si="547">+SUM(J204:J206)+SUM(I207:I215)</f>
        <v>102.31400000000001</v>
      </c>
      <c r="X206" s="105">
        <f t="shared" ref="X206:X207" si="548">+SUM(K204:K206)+SUM(J207:J215)</f>
        <v>102.334</v>
      </c>
      <c r="Y206" s="117">
        <f>+X206/W206-1</f>
        <v>1.954766698593069E-4</v>
      </c>
      <c r="Z206" s="113">
        <f>+POWER(X206/S206,0.2)-1</f>
        <v>-1.9597421649925395E-2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/>
      <c r="L207" s="91"/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549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550">+SUM(I204:I207)+SUM(H208:H215)</f>
        <v>105.18600000000001</v>
      </c>
      <c r="W207" s="67">
        <f t="shared" ref="W207" si="551">+SUM(J204:J207)+SUM(I208:I215)</f>
        <v>100.96000000000001</v>
      </c>
      <c r="X207" s="37"/>
      <c r="Y207" s="78"/>
      <c r="Z207" s="7"/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/>
      <c r="L208" s="91"/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55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553">+SUM(I204:I208)+SUM(H209:H215)</f>
        <v>104.334</v>
      </c>
      <c r="W208" s="105">
        <f t="shared" ref="W208" si="554">+SUM(J204:J208)+SUM(I209:I215)</f>
        <v>99.967999999999989</v>
      </c>
      <c r="X208" s="105"/>
      <c r="Y208" s="117"/>
      <c r="Z208" s="113"/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/>
      <c r="L209" s="91"/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555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556">+SUM(I204:I209)+SUM(H210:H215)</f>
        <v>101.873</v>
      </c>
      <c r="W209" s="105">
        <f t="shared" ref="W209" si="557">+SUM(J204:J209)+SUM(I210:I215)</f>
        <v>96.594999999999999</v>
      </c>
      <c r="X209" s="105"/>
      <c r="Y209" s="117"/>
      <c r="Z209" s="113"/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/>
      <c r="L210" s="91"/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558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559">+SUM(I204:I210)+SUM(H211:H215)</f>
        <v>101.723</v>
      </c>
      <c r="W210" s="105">
        <f t="shared" ref="W210" si="560">+SUM(J204:J210)+SUM(I211:I215)</f>
        <v>101.089</v>
      </c>
      <c r="X210" s="105"/>
      <c r="Y210" s="117"/>
      <c r="Z210" s="113"/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/>
      <c r="L211" s="91"/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561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562">+SUM(I204:I211)+SUM(H212:H215)</f>
        <v>99.727000000000004</v>
      </c>
      <c r="W211" s="105">
        <f t="shared" ref="W211" si="563">+SUM(J204:J211)+SUM(I212:I215)</f>
        <v>105.27500000000001</v>
      </c>
      <c r="X211" s="105"/>
      <c r="Y211" s="117"/>
      <c r="Z211" s="113"/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/>
      <c r="L212" s="91"/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564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565">+SUM(I204:I212)+SUM(H213:H215)</f>
        <v>98.382000000000005</v>
      </c>
      <c r="W212" s="105">
        <f t="shared" ref="W212" si="566">+SUM(J204:J212)+SUM(I213:I215)</f>
        <v>105.58799999999999</v>
      </c>
      <c r="X212" s="105"/>
      <c r="Y212" s="117"/>
      <c r="Z212" s="113"/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/>
      <c r="L213" s="91"/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567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568">+SUM(I204:I213)+SUM(H214:H215)</f>
        <v>101.529</v>
      </c>
      <c r="W213" s="105">
        <f t="shared" ref="W213" si="569">+SUM(J204:J213)+SUM(I214:I215)</f>
        <v>104.97199999999999</v>
      </c>
      <c r="X213" s="105"/>
      <c r="Y213" s="117"/>
      <c r="Z213" s="113"/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570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571">+SUM(I204:I214)+SUM(H215)</f>
        <v>102.504</v>
      </c>
      <c r="W214" s="105">
        <f t="shared" ref="W214" si="572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573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574">+SUM(I204:I215)</f>
        <v>103.27500000000001</v>
      </c>
      <c r="W215" s="105">
        <f t="shared" ref="W215" si="575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576">SUM(B204:B215)</f>
        <v>89.567000000000007</v>
      </c>
      <c r="C216" s="83">
        <f t="shared" si="576"/>
        <v>100.23599999999999</v>
      </c>
      <c r="D216" s="83">
        <f t="shared" si="576"/>
        <v>106.82600000000001</v>
      </c>
      <c r="E216" s="83">
        <f t="shared" si="576"/>
        <v>114.30200000000001</v>
      </c>
      <c r="F216" s="83">
        <f t="shared" si="576"/>
        <v>125.268</v>
      </c>
      <c r="G216" s="83">
        <f t="shared" si="576"/>
        <v>128.97900000000001</v>
      </c>
      <c r="H216" s="83">
        <f t="shared" ref="H216:I216" si="577">SUM(H204:H215)</f>
        <v>109.47100000000002</v>
      </c>
      <c r="I216" s="83">
        <f t="shared" si="577"/>
        <v>103.27500000000001</v>
      </c>
      <c r="J216" s="107">
        <f t="shared" ref="J216" si="578">SUM(J204:J215)</f>
        <v>106.62599999999999</v>
      </c>
      <c r="K216" s="83"/>
      <c r="L216" s="94"/>
      <c r="M216" s="3"/>
      <c r="N216" s="92" t="s">
        <v>14</v>
      </c>
      <c r="O216" s="106">
        <f t="shared" ref="O216" si="579">+AVERAGE(O204:O215)</f>
        <v>88.095500000000001</v>
      </c>
      <c r="P216" s="83">
        <f>+AVERAGE(P204:P215)</f>
        <v>95.380166666666653</v>
      </c>
      <c r="Q216" s="83">
        <f t="shared" ref="Q216:W216" si="580">+AVERAGE(Q204:Q215)</f>
        <v>101.55008333333335</v>
      </c>
      <c r="R216" s="83">
        <f t="shared" si="580"/>
        <v>113.61624999999998</v>
      </c>
      <c r="S216" s="83">
        <f t="shared" si="580"/>
        <v>118.78275000000001</v>
      </c>
      <c r="T216" s="83">
        <f t="shared" si="580"/>
        <v>125.92983333333332</v>
      </c>
      <c r="U216" s="83">
        <f t="shared" si="580"/>
        <v>123.31325</v>
      </c>
      <c r="V216" s="83">
        <f t="shared" si="580"/>
        <v>103.25583333333333</v>
      </c>
      <c r="W216" s="107">
        <f t="shared" si="580"/>
        <v>102.97308333333332</v>
      </c>
      <c r="X216" s="107">
        <f t="shared" ref="X216" si="581">+AVERAGE(X204:X215)</f>
        <v>104.492</v>
      </c>
      <c r="Y216" s="119">
        <f>+X216/W216-1</f>
        <v>1.4750618486870204E-2</v>
      </c>
      <c r="Z216" s="173">
        <f>+POWER(X216/S216,0.2)-1</f>
        <v>-2.5311295288425351E-2</v>
      </c>
    </row>
    <row r="217" spans="1:26" ht="25.5" x14ac:dyDescent="0.25">
      <c r="A217" s="95" t="s">
        <v>15</v>
      </c>
      <c r="B217" s="108">
        <f t="shared" ref="B217:G217" si="582">+B216/B$360</f>
        <v>0.10965248412758655</v>
      </c>
      <c r="C217" s="84">
        <f t="shared" si="582"/>
        <v>0.12437370180388768</v>
      </c>
      <c r="D217" s="84">
        <f t="shared" si="582"/>
        <v>0.1296023099507437</v>
      </c>
      <c r="E217" s="84">
        <f t="shared" si="582"/>
        <v>0.14357852213432082</v>
      </c>
      <c r="F217" s="84">
        <f t="shared" si="582"/>
        <v>0.16056212380669177</v>
      </c>
      <c r="G217" s="84">
        <f t="shared" si="582"/>
        <v>0.15607106382772759</v>
      </c>
      <c r="H217" s="84">
        <f t="shared" ref="H217:I217" si="583">+H216/H$360</f>
        <v>0.13900373314371336</v>
      </c>
      <c r="I217" s="84">
        <f t="shared" si="583"/>
        <v>0.15834939443143714</v>
      </c>
      <c r="J217" s="109">
        <f t="shared" ref="J217" si="584">+J216/J$360</f>
        <v>0.15652327092034088</v>
      </c>
      <c r="K217" s="84"/>
      <c r="L217" s="97"/>
      <c r="M217" s="3"/>
      <c r="N217" s="95" t="s">
        <v>15</v>
      </c>
      <c r="O217" s="108">
        <f t="shared" ref="O217:W217" si="585">+O216/O$360</f>
        <v>0.10945205947488905</v>
      </c>
      <c r="P217" s="84">
        <f t="shared" si="585"/>
        <v>0.1176720718179191</v>
      </c>
      <c r="Q217" s="84">
        <f t="shared" si="585"/>
        <v>0.12535650606007581</v>
      </c>
      <c r="R217" s="84">
        <f t="shared" si="585"/>
        <v>0.13906316330383625</v>
      </c>
      <c r="S217" s="84">
        <f t="shared" si="585"/>
        <v>0.1510946091799065</v>
      </c>
      <c r="T217" s="84">
        <f t="shared" si="585"/>
        <v>0.15704679796249188</v>
      </c>
      <c r="U217" s="84">
        <f t="shared" si="585"/>
        <v>0.15066466155002167</v>
      </c>
      <c r="V217" s="84">
        <f t="shared" si="585"/>
        <v>0.14494837251709508</v>
      </c>
      <c r="W217" s="109">
        <f t="shared" si="585"/>
        <v>0.15744128746228259</v>
      </c>
      <c r="X217" s="109">
        <f t="shared" ref="X217" si="586">+X216/X$360</f>
        <v>0.15411769101732348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587">+D216/C216-1</f>
        <v>6.5744842172473117E-2</v>
      </c>
      <c r="E218" s="85">
        <f t="shared" si="587"/>
        <v>6.9982962949094674E-2</v>
      </c>
      <c r="F218" s="85">
        <f t="shared" si="587"/>
        <v>9.5938828716907842E-2</v>
      </c>
      <c r="G218" s="85">
        <f t="shared" si="587"/>
        <v>2.9624485103937337E-2</v>
      </c>
      <c r="H218" s="85">
        <f t="shared" si="587"/>
        <v>-0.15124942820149012</v>
      </c>
      <c r="I218" s="85">
        <f t="shared" si="587"/>
        <v>-5.6599464698413371E-2</v>
      </c>
      <c r="J218" s="111">
        <f t="shared" si="587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588">+Q216/P216-1</f>
        <v>6.4687627232076883E-2</v>
      </c>
      <c r="R218" s="85">
        <f t="shared" ref="R218" si="589">+R216/Q216-1</f>
        <v>0.11881985982286203</v>
      </c>
      <c r="S218" s="85">
        <f t="shared" ref="S218" si="590">+S216/R216-1</f>
        <v>4.547324876503156E-2</v>
      </c>
      <c r="T218" s="85">
        <f t="shared" ref="T218" si="591">+T216/S216-1</f>
        <v>6.0169370833166536E-2</v>
      </c>
      <c r="U218" s="85">
        <f t="shared" ref="U218" si="592">+U216/T216-1</f>
        <v>-2.0778105267615921E-2</v>
      </c>
      <c r="V218" s="85">
        <f t="shared" ref="V218" si="593">+V216/U216-1</f>
        <v>-0.16265418895914807</v>
      </c>
      <c r="W218" s="111">
        <f t="shared" ref="W218:X218" si="594">+W216/V216-1</f>
        <v>-2.7383440806412196E-3</v>
      </c>
      <c r="X218" s="111">
        <f t="shared" si="594"/>
        <v>1.4750618486870204E-2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35" t="s">
        <v>122</v>
      </c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7"/>
      <c r="M220" s="2"/>
      <c r="N220" s="335" t="s">
        <v>123</v>
      </c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7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595">+C221+1</f>
        <v>2018</v>
      </c>
      <c r="E221" s="82">
        <f t="shared" si="595"/>
        <v>2019</v>
      </c>
      <c r="F221" s="82">
        <f t="shared" si="595"/>
        <v>2020</v>
      </c>
      <c r="G221" s="82">
        <f t="shared" si="595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596">+P221+1</f>
        <v>2018</v>
      </c>
      <c r="R221" s="82">
        <f t="shared" ref="R221" si="597">+Q221+1</f>
        <v>2019</v>
      </c>
      <c r="S221" s="82">
        <f t="shared" ref="S221" si="598">+R221+1</f>
        <v>2020</v>
      </c>
      <c r="T221" s="82">
        <f t="shared" ref="T221" si="599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600">+SUM(D222)+SUM(C223:C233)</f>
        <v>67.374000000000009</v>
      </c>
      <c r="R222" s="6">
        <f t="shared" ref="R222:X222" si="601">+SUM(E222)+SUM(D223:D233)</f>
        <v>67.957999999999998</v>
      </c>
      <c r="S222" s="6">
        <f t="shared" si="601"/>
        <v>67.415000000000006</v>
      </c>
      <c r="T222" s="6">
        <f t="shared" si="601"/>
        <v>68.432000000000002</v>
      </c>
      <c r="U222" s="6">
        <f t="shared" si="601"/>
        <v>67.143999999999991</v>
      </c>
      <c r="V222" s="6">
        <f t="shared" si="601"/>
        <v>49.774999999999999</v>
      </c>
      <c r="W222" s="105">
        <f t="shared" si="601"/>
        <v>43.546000000000006</v>
      </c>
      <c r="X222" s="105">
        <f t="shared" si="601"/>
        <v>49.586000000000006</v>
      </c>
      <c r="Y222" s="117">
        <f>+X222/W222-1</f>
        <v>0.13870389932485194</v>
      </c>
      <c r="Z222" s="113">
        <f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>+K223/J223-1</f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602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603">+SUM(J222:J223)+SUM(I224:I233)</f>
        <v>44.047999999999995</v>
      </c>
      <c r="X223" s="105">
        <f t="shared" ref="X223" si="604">+SUM(K222:K223)+SUM(J224:J233)</f>
        <v>49.398000000000003</v>
      </c>
      <c r="Y223" s="117">
        <f>+X223/W223-1</f>
        <v>0.12145840900835481</v>
      </c>
      <c r="Z223" s="113">
        <f>+POWER(X223/S223,0.2)-1</f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3.8109999999999999</v>
      </c>
      <c r="L224" s="91">
        <f>+K224/J224-1</f>
        <v>0.20601265822784809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605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606">+SUM(I222:I224)+SUM(H225:H233)</f>
        <v>47.177999999999997</v>
      </c>
      <c r="W224" s="105">
        <f t="shared" ref="W224:X224" si="607">+SUM(J222:J224)+SUM(I225:I233)</f>
        <v>44.658000000000001</v>
      </c>
      <c r="X224" s="105">
        <f t="shared" si="607"/>
        <v>50.048999999999999</v>
      </c>
      <c r="Y224" s="117">
        <f>+X224/W224-1</f>
        <v>0.1207174526400645</v>
      </c>
      <c r="Z224" s="113">
        <f>+POWER(X224/S224,0.2)-1</f>
        <v>-6.0108673802506174E-2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/>
      <c r="L225" s="91"/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608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609">+SUM(I222:I225)+SUM(H226:H233)</f>
        <v>48.510999999999996</v>
      </c>
      <c r="W225" s="67">
        <f t="shared" ref="W225" si="610">+SUM(J222:J225)+SUM(I226:I233)</f>
        <v>43.695999999999998</v>
      </c>
      <c r="X225" s="37"/>
      <c r="Y225" s="78"/>
      <c r="Z225" s="7"/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/>
      <c r="L226" s="91"/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611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612">+SUM(I222:I226)+SUM(H227:H233)</f>
        <v>45.789000000000001</v>
      </c>
      <c r="W226" s="105">
        <f t="shared" ref="W226" si="613">+SUM(J222:J226)+SUM(I227:I233)</f>
        <v>44.709000000000003</v>
      </c>
      <c r="X226" s="105"/>
      <c r="Y226" s="117"/>
      <c r="Z226" s="113"/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/>
      <c r="L227" s="91"/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614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615">+SUM(I222:I227)+SUM(H228:H233)</f>
        <v>43.891000000000005</v>
      </c>
      <c r="W227" s="105">
        <f t="shared" ref="W227" si="616">+SUM(J222:J227)+SUM(I228:I233)</f>
        <v>42.947000000000003</v>
      </c>
      <c r="X227" s="105"/>
      <c r="Y227" s="117"/>
      <c r="Z227" s="113"/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/>
      <c r="L228" s="91"/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617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618">+SUM(I222:I228)+SUM(H229:H233)</f>
        <v>46.13900000000001</v>
      </c>
      <c r="W228" s="105">
        <f t="shared" ref="W228" si="619">+SUM(J222:J228)+SUM(I229:I233)</f>
        <v>43.42</v>
      </c>
      <c r="X228" s="105"/>
      <c r="Y228" s="117"/>
      <c r="Z228" s="113"/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/>
      <c r="L229" s="91"/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62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621">+SUM(I222:I229)+SUM(H230:H233)</f>
        <v>42.502000000000002</v>
      </c>
      <c r="W229" s="105">
        <f t="shared" ref="W229" si="622">+SUM(J222:J229)+SUM(I230:I233)</f>
        <v>45.619</v>
      </c>
      <c r="X229" s="105"/>
      <c r="Y229" s="117"/>
      <c r="Z229" s="113"/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/>
      <c r="L230" s="91"/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623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624">+SUM(I222:I230)+SUM(H231:H233)</f>
        <v>42.466999999999999</v>
      </c>
      <c r="W230" s="105">
        <f t="shared" ref="W230" si="625">+SUM(J222:J230)+SUM(I231:I233)</f>
        <v>45.212000000000003</v>
      </c>
      <c r="X230" s="105"/>
      <c r="Y230" s="117"/>
      <c r="Z230" s="113"/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/>
      <c r="L231" s="91"/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626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627">+SUM(I222:I231)+SUM(H232:H233)</f>
        <v>42.697000000000003</v>
      </c>
      <c r="W231" s="105">
        <f t="shared" ref="W231" si="628">+SUM(J222:J231)+SUM(I232:I233)</f>
        <v>48.072000000000003</v>
      </c>
      <c r="X231" s="105"/>
      <c r="Y231" s="117"/>
      <c r="Z231" s="113"/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629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630">+SUM(I222:I232)+SUM(H233)</f>
        <v>43.330000000000005</v>
      </c>
      <c r="W232" s="105">
        <f t="shared" ref="W232" si="631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632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633">+SUM(I222:I233)</f>
        <v>43.182000000000002</v>
      </c>
      <c r="W233" s="105">
        <f t="shared" ref="W233" si="634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635">SUM(C222:C233)</f>
        <v>68.391000000000005</v>
      </c>
      <c r="D234" s="83">
        <f t="shared" si="635"/>
        <v>67.007000000000005</v>
      </c>
      <c r="E234" s="83">
        <f t="shared" si="635"/>
        <v>68.272999999999996</v>
      </c>
      <c r="F234" s="83">
        <f t="shared" si="635"/>
        <v>65.47</v>
      </c>
      <c r="G234" s="83">
        <f t="shared" ref="G234:I234" si="636">SUM(G222:G233)</f>
        <v>71.659000000000006</v>
      </c>
      <c r="H234" s="83">
        <f t="shared" si="636"/>
        <v>49.356999999999999</v>
      </c>
      <c r="I234" s="83">
        <f t="shared" si="636"/>
        <v>43.182000000000002</v>
      </c>
      <c r="J234" s="107">
        <f t="shared" ref="J234" si="637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638">+AVERAGE(Q222:Q233)</f>
        <v>66.48933333333332</v>
      </c>
      <c r="R234" s="83">
        <f t="shared" si="638"/>
        <v>69.780999999999992</v>
      </c>
      <c r="S234" s="83">
        <f t="shared" si="638"/>
        <v>67.953500000000005</v>
      </c>
      <c r="T234" s="83">
        <f t="shared" si="638"/>
        <v>67.238166666666672</v>
      </c>
      <c r="U234" s="83">
        <f t="shared" si="638"/>
        <v>60.131999999999998</v>
      </c>
      <c r="V234" s="83">
        <f t="shared" si="638"/>
        <v>45.255749999999999</v>
      </c>
      <c r="W234" s="107">
        <f t="shared" si="638"/>
        <v>45.434416666666671</v>
      </c>
      <c r="X234" s="107">
        <f t="shared" ref="X234" si="639">+AVERAGE(X222:X233)</f>
        <v>49.677666666666674</v>
      </c>
      <c r="Y234" s="119">
        <f>+X234/W234-1</f>
        <v>9.3392857470383284E-2</v>
      </c>
      <c r="Z234" s="173">
        <f>+POWER(X234/S234,0.2)-1</f>
        <v>-6.0731253477585789E-2</v>
      </c>
    </row>
    <row r="235" spans="1:26" ht="25.5" x14ac:dyDescent="0.25">
      <c r="A235" s="95" t="s">
        <v>15</v>
      </c>
      <c r="B235" s="108">
        <f t="shared" ref="B235:G235" si="640">+B234/B$360</f>
        <v>8.2000328099252492E-2</v>
      </c>
      <c r="C235" s="84">
        <f t="shared" si="640"/>
        <v>8.4860148450354E-2</v>
      </c>
      <c r="D235" s="84">
        <f t="shared" si="640"/>
        <v>8.1293523888093563E-2</v>
      </c>
      <c r="E235" s="84">
        <f t="shared" si="640"/>
        <v>8.5759973068506981E-2</v>
      </c>
      <c r="F235" s="84">
        <f t="shared" si="640"/>
        <v>8.3916101842642254E-2</v>
      </c>
      <c r="G235" s="84">
        <f t="shared" si="640"/>
        <v>8.6710986771731294E-2</v>
      </c>
      <c r="H235" s="84">
        <f t="shared" ref="H235:I235" si="641">+H234/H$360</f>
        <v>6.2672372196967779E-2</v>
      </c>
      <c r="I235" s="84">
        <f t="shared" si="641"/>
        <v>6.6210056164011794E-2</v>
      </c>
      <c r="J235" s="109">
        <f t="shared" ref="J235" si="642">+J234/J$360</f>
        <v>7.4528599634476653E-2</v>
      </c>
      <c r="K235" s="84"/>
      <c r="L235" s="97"/>
      <c r="M235" s="3"/>
      <c r="N235" s="95" t="s">
        <v>15</v>
      </c>
      <c r="O235" s="108">
        <f t="shared" ref="O235:W235" si="643">+O234/O$360</f>
        <v>8.6824081925510416E-2</v>
      </c>
      <c r="P235" s="84">
        <f t="shared" si="643"/>
        <v>8.18938862054987E-2</v>
      </c>
      <c r="Q235" s="84">
        <f t="shared" si="643"/>
        <v>8.2076451769828501E-2</v>
      </c>
      <c r="R235" s="84">
        <f t="shared" si="643"/>
        <v>8.541002364102844E-2</v>
      </c>
      <c r="S235" s="84">
        <f t="shared" si="643"/>
        <v>8.6438540317569479E-2</v>
      </c>
      <c r="T235" s="84">
        <f t="shared" si="643"/>
        <v>8.385255897161005E-2</v>
      </c>
      <c r="U235" s="84">
        <f t="shared" si="643"/>
        <v>7.346953736379426E-2</v>
      </c>
      <c r="V235" s="84">
        <f t="shared" si="643"/>
        <v>6.3529072380483997E-2</v>
      </c>
      <c r="W235" s="109">
        <f t="shared" si="643"/>
        <v>6.9467212435914472E-2</v>
      </c>
      <c r="X235" s="109">
        <f t="shared" ref="X235" si="644">+X234/X$360</f>
        <v>7.3270750696655479E-2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645">+D234/C234-1</f>
        <v>-2.0236580836659801E-2</v>
      </c>
      <c r="E236" s="85">
        <f t="shared" si="645"/>
        <v>1.8893548435237939E-2</v>
      </c>
      <c r="F236" s="85">
        <f t="shared" si="645"/>
        <v>-4.1055761428383075E-2</v>
      </c>
      <c r="G236" s="85">
        <f t="shared" si="645"/>
        <v>9.4531846647319506E-2</v>
      </c>
      <c r="H236" s="85">
        <f t="shared" si="645"/>
        <v>-0.31122399140373158</v>
      </c>
      <c r="I236" s="85">
        <f t="shared" si="645"/>
        <v>-0.12510890045991441</v>
      </c>
      <c r="J236" s="111">
        <f t="shared" si="645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646">+Q234/P234-1</f>
        <v>1.6495973927823648E-3</v>
      </c>
      <c r="R236" s="85">
        <f t="shared" ref="R236" si="647">+R234/Q234-1</f>
        <v>4.9506687789520276E-2</v>
      </c>
      <c r="S236" s="85">
        <f t="shared" ref="S236" si="648">+S234/R234-1</f>
        <v>-2.6189077255986404E-2</v>
      </c>
      <c r="T236" s="85">
        <f t="shared" ref="T236" si="649">+T234/S234-1</f>
        <v>-1.0526806320989124E-2</v>
      </c>
      <c r="U236" s="85">
        <f t="shared" ref="U236" si="650">+U234/T234-1</f>
        <v>-0.10568650245768163</v>
      </c>
      <c r="V236" s="85">
        <f t="shared" ref="V236" si="651">+V234/U234-1</f>
        <v>-0.24739323488325682</v>
      </c>
      <c r="W236" s="111">
        <f t="shared" ref="W236:X236" si="652">+W234/V234-1</f>
        <v>3.9479329514298112E-3</v>
      </c>
      <c r="X236" s="111">
        <f t="shared" si="652"/>
        <v>9.3392857470383284E-2</v>
      </c>
      <c r="Y236" s="99"/>
      <c r="Z236" s="115"/>
    </row>
    <row r="237" spans="1:26" ht="15.75" thickBot="1" x14ac:dyDescent="0.3"/>
    <row r="238" spans="1:26" ht="15.75" thickBot="1" x14ac:dyDescent="0.3">
      <c r="A238" s="335" t="s">
        <v>124</v>
      </c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7"/>
      <c r="M238" s="2"/>
      <c r="N238" s="335" t="s">
        <v>125</v>
      </c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7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653">+C239+1</f>
        <v>2018</v>
      </c>
      <c r="E239" s="82">
        <f t="shared" si="653"/>
        <v>2019</v>
      </c>
      <c r="F239" s="82">
        <f t="shared" si="653"/>
        <v>2020</v>
      </c>
      <c r="G239" s="82">
        <f t="shared" si="653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54">+P239+1</f>
        <v>2018</v>
      </c>
      <c r="R239" s="82">
        <f t="shared" ref="R239" si="655">+Q239+1</f>
        <v>2019</v>
      </c>
      <c r="S239" s="82">
        <f t="shared" ref="S239" si="656">+R239+1</f>
        <v>2020</v>
      </c>
      <c r="T239" s="82">
        <f t="shared" ref="T239" si="657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658">+SUM(D240)+SUM(C241:C251)</f>
        <v>56.518000000000001</v>
      </c>
      <c r="R240" s="6">
        <f t="shared" ref="R240:X240" si="659">+SUM(E240)+SUM(D241:D251)</f>
        <v>55.251999999999995</v>
      </c>
      <c r="S240" s="6">
        <f t="shared" si="659"/>
        <v>57.580000000000005</v>
      </c>
      <c r="T240" s="6">
        <f t="shared" si="659"/>
        <v>69.527999999999992</v>
      </c>
      <c r="U240" s="6">
        <f t="shared" si="659"/>
        <v>82.146000000000001</v>
      </c>
      <c r="V240" s="6">
        <f t="shared" si="659"/>
        <v>91.391000000000005</v>
      </c>
      <c r="W240" s="105">
        <f t="shared" si="659"/>
        <v>85.929999999999993</v>
      </c>
      <c r="X240" s="105">
        <f t="shared" si="659"/>
        <v>100.69499999999999</v>
      </c>
      <c r="Y240" s="117">
        <f>+X240/W240-1</f>
        <v>0.17182590480623761</v>
      </c>
      <c r="Z240" s="113">
        <f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>+K241/J241-1</f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660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661">+SUM(J240:J241)+SUM(I242:I251)</f>
        <v>84.557000000000002</v>
      </c>
      <c r="X241" s="105">
        <f t="shared" ref="X241" si="662">+SUM(K240:K241)+SUM(J242:J251)</f>
        <v>99.736999999999995</v>
      </c>
      <c r="Y241" s="117">
        <f>+X241/W241-1</f>
        <v>0.17952387147131521</v>
      </c>
      <c r="Z241" s="113">
        <f>+POWER(X241/S241,0.2)-1</f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6.7510000000000003</v>
      </c>
      <c r="L242" s="91">
        <f>+K242/J242-1</f>
        <v>-1.0407505130460182E-2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663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664">+SUM(I240:I242)+SUM(H243:H251)</f>
        <v>92.844000000000008</v>
      </c>
      <c r="W242" s="105">
        <f t="shared" ref="W242" si="665">+SUM(J240:J242)+SUM(I243:I251)</f>
        <v>84.156000000000006</v>
      </c>
      <c r="X242" s="105">
        <f t="shared" ref="X242" si="666">+SUM(K240:K242)+SUM(J243:J251)</f>
        <v>99.665999999999997</v>
      </c>
      <c r="Y242" s="117">
        <f>+X242/W242-1</f>
        <v>0.18430058462854682</v>
      </c>
      <c r="Z242" s="113">
        <f>+POWER(X242/S242,0.2)-1</f>
        <v>0.11551585782498908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/>
      <c r="L243" s="91"/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667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668">+SUM(I240:I243)+SUM(H244:H251)</f>
        <v>92.235000000000014</v>
      </c>
      <c r="W243" s="67">
        <f t="shared" ref="W243" si="669">+SUM(J240:J243)+SUM(I244:I251)</f>
        <v>84.747</v>
      </c>
      <c r="X243" s="37"/>
      <c r="Y243" s="78"/>
      <c r="Z243" s="7"/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/>
      <c r="L244" s="91"/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670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671">+SUM(I240:I244)+SUM(H245:H251)</f>
        <v>91.35</v>
      </c>
      <c r="W244" s="105">
        <f t="shared" ref="W244" si="672">+SUM(J240:J244)+SUM(I245:I251)</f>
        <v>87.736999999999995</v>
      </c>
      <c r="X244" s="105"/>
      <c r="Y244" s="117"/>
      <c r="Z244" s="113"/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/>
      <c r="L245" s="91"/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67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674">+SUM(I240:I245)+SUM(H246:H251)</f>
        <v>92.850999999999999</v>
      </c>
      <c r="W245" s="105">
        <f t="shared" ref="W245" si="675">+SUM(J240:J245)+SUM(I246:I251)</f>
        <v>89.111999999999995</v>
      </c>
      <c r="X245" s="105"/>
      <c r="Y245" s="117"/>
      <c r="Z245" s="113"/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/>
      <c r="L246" s="91"/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676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677">+SUM(I240:I246)+SUM(H247:H251)</f>
        <v>92.537999999999997</v>
      </c>
      <c r="W246" s="105">
        <f t="shared" ref="W246" si="678">+SUM(J240:J246)+SUM(I247:I251)</f>
        <v>92.23599999999999</v>
      </c>
      <c r="X246" s="105"/>
      <c r="Y246" s="117"/>
      <c r="Z246" s="113"/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/>
      <c r="L247" s="91"/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679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680">+SUM(I240:I247)+SUM(H248:H251)</f>
        <v>89.933999999999997</v>
      </c>
      <c r="W247" s="105">
        <f t="shared" ref="W247" si="681">+SUM(J240:J247)+SUM(I248:I251)</f>
        <v>94.663999999999987</v>
      </c>
      <c r="X247" s="105"/>
      <c r="Y247" s="117"/>
      <c r="Z247" s="113"/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/>
      <c r="L248" s="91"/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682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683">+SUM(I240:I248)+SUM(H249:H251)</f>
        <v>89.020999999999987</v>
      </c>
      <c r="W248" s="105">
        <f t="shared" ref="W248" si="684">+SUM(J240:J248)+SUM(I249:I251)</f>
        <v>98.106999999999999</v>
      </c>
      <c r="X248" s="105"/>
      <c r="Y248" s="117"/>
      <c r="Z248" s="113"/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/>
      <c r="L249" s="91"/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685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686">+SUM(I240:I249)+SUM(H250:H251)</f>
        <v>87.77</v>
      </c>
      <c r="W249" s="105">
        <f t="shared" ref="W249" si="687">+SUM(J240:J249)+SUM(I250:I251)</f>
        <v>98.72999999999999</v>
      </c>
      <c r="X249" s="105"/>
      <c r="Y249" s="117"/>
      <c r="Z249" s="113"/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688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689">+SUM(I240:I250)+SUM(H251)</f>
        <v>86.344999999999999</v>
      </c>
      <c r="W250" s="105">
        <f t="shared" ref="W250" si="690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691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692">+SUM(I240:I251)</f>
        <v>88.766999999999996</v>
      </c>
      <c r="W251" s="105">
        <f t="shared" ref="W251" si="693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694">SUM(C240:C251)</f>
        <v>55.055</v>
      </c>
      <c r="D252" s="83">
        <f t="shared" si="694"/>
        <v>56.878999999999998</v>
      </c>
      <c r="E252" s="83">
        <f t="shared" si="694"/>
        <v>57.808999999999997</v>
      </c>
      <c r="F252" s="83">
        <f t="shared" si="694"/>
        <v>65.968000000000004</v>
      </c>
      <c r="G252" s="83">
        <f t="shared" ref="G252" si="695">SUM(G240:G251)</f>
        <v>83.677999999999997</v>
      </c>
      <c r="H252" s="83">
        <f t="shared" ref="H252:I252" si="696">SUM(H240:H251)</f>
        <v>88.523999999999987</v>
      </c>
      <c r="I252" s="83">
        <f t="shared" si="696"/>
        <v>88.766999999999996</v>
      </c>
      <c r="J252" s="107">
        <f t="shared" ref="J252" si="697">SUM(J240:J251)</f>
        <v>99.47499999999998</v>
      </c>
      <c r="K252" s="83"/>
      <c r="L252" s="94"/>
      <c r="M252" s="3"/>
      <c r="N252" s="92" t="s">
        <v>14</v>
      </c>
      <c r="O252" s="106">
        <f t="shared" ref="O252" si="698">+AVERAGE(O240:O251)</f>
        <v>46.134916666666669</v>
      </c>
      <c r="P252" s="83">
        <f>+AVERAGE(P240:P251)</f>
        <v>51.103833333333334</v>
      </c>
      <c r="Q252" s="83">
        <f t="shared" ref="Q252:W252" si="699">+AVERAGE(Q240:Q251)</f>
        <v>57.46674999999999</v>
      </c>
      <c r="R252" s="83">
        <f t="shared" si="699"/>
        <v>54.871666666666663</v>
      </c>
      <c r="S252" s="83">
        <f t="shared" si="699"/>
        <v>58.904499999999992</v>
      </c>
      <c r="T252" s="83">
        <f t="shared" si="699"/>
        <v>79.190999999999988</v>
      </c>
      <c r="U252" s="83">
        <f t="shared" si="699"/>
        <v>86.412916666666661</v>
      </c>
      <c r="V252" s="83">
        <f t="shared" si="699"/>
        <v>90.542416666666668</v>
      </c>
      <c r="W252" s="107">
        <f t="shared" si="699"/>
        <v>91.549499999999981</v>
      </c>
      <c r="X252" s="107">
        <f t="shared" ref="X252" si="700">+AVERAGE(X240:X251)</f>
        <v>100.03266666666666</v>
      </c>
      <c r="Y252" s="119">
        <f>+X252/W252-1</f>
        <v>9.2662075343575623E-2</v>
      </c>
      <c r="Z252" s="173">
        <f>+POWER(X252/S252,0.2)-1</f>
        <v>0.11172833417123473</v>
      </c>
    </row>
    <row r="253" spans="1:26" ht="25.5" x14ac:dyDescent="0.25">
      <c r="A253" s="95" t="s">
        <v>15</v>
      </c>
      <c r="B253" s="108">
        <f t="shared" ref="B253:G253" si="701">+B252/B$360</f>
        <v>5.7079475922656712E-2</v>
      </c>
      <c r="C253" s="84">
        <f t="shared" si="701"/>
        <v>6.831272350066879E-2</v>
      </c>
      <c r="D253" s="84">
        <f t="shared" si="701"/>
        <v>6.9006138839686509E-2</v>
      </c>
      <c r="E253" s="84">
        <f t="shared" si="701"/>
        <v>7.2615796627031479E-2</v>
      </c>
      <c r="F253" s="84">
        <f t="shared" si="701"/>
        <v>8.4554412805184428E-2</v>
      </c>
      <c r="G253" s="84">
        <f t="shared" si="701"/>
        <v>0.10125458003998006</v>
      </c>
      <c r="H253" s="84">
        <f t="shared" ref="H253:I253" si="702">+H252/H$360</f>
        <v>0.11240571907458667</v>
      </c>
      <c r="I253" s="84">
        <f t="shared" si="702"/>
        <v>0.13610458189780081</v>
      </c>
      <c r="J253" s="109">
        <f t="shared" ref="J253" si="703">+J252/J$360</f>
        <v>0.14602585086940245</v>
      </c>
      <c r="K253" s="84"/>
      <c r="L253" s="97"/>
      <c r="M253" s="3"/>
      <c r="N253" s="95" t="s">
        <v>15</v>
      </c>
      <c r="O253" s="108">
        <f t="shared" ref="O253:W253" si="704">+O252/O$360</f>
        <v>5.7319177970146601E-2</v>
      </c>
      <c r="P253" s="84">
        <f t="shared" si="704"/>
        <v>6.3047635125097312E-2</v>
      </c>
      <c r="Q253" s="84">
        <f t="shared" si="704"/>
        <v>7.0938700965725715E-2</v>
      </c>
      <c r="R253" s="84">
        <f t="shared" si="704"/>
        <v>6.7161409942858838E-2</v>
      </c>
      <c r="S253" s="84">
        <f t="shared" si="704"/>
        <v>7.4927987493451711E-2</v>
      </c>
      <c r="T253" s="84">
        <f t="shared" si="704"/>
        <v>9.8758909213578147E-2</v>
      </c>
      <c r="U253" s="84">
        <f t="shared" si="704"/>
        <v>0.10557967487787047</v>
      </c>
      <c r="V253" s="84">
        <f t="shared" si="704"/>
        <v>0.12710154492900033</v>
      </c>
      <c r="W253" s="109">
        <f t="shared" si="704"/>
        <v>0.13997513408304829</v>
      </c>
      <c r="X253" s="109">
        <f t="shared" ref="X253" si="705">+X252/X$360</f>
        <v>0.14754051614451102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706">+D252/C252-1</f>
        <v>3.3130505857778658E-2</v>
      </c>
      <c r="E254" s="85">
        <f t="shared" si="706"/>
        <v>1.6350498426484394E-2</v>
      </c>
      <c r="F254" s="85">
        <f t="shared" si="706"/>
        <v>0.14113719317061357</v>
      </c>
      <c r="G254" s="85">
        <f t="shared" si="706"/>
        <v>0.26846349745331066</v>
      </c>
      <c r="H254" s="85">
        <f t="shared" si="706"/>
        <v>5.7912474007504766E-2</v>
      </c>
      <c r="I254" s="85">
        <f t="shared" si="706"/>
        <v>2.7450183001220818E-3</v>
      </c>
      <c r="J254" s="111">
        <f t="shared" si="706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707">+Q252/P252-1</f>
        <v>0.12450957690714626</v>
      </c>
      <c r="R254" s="85">
        <f t="shared" ref="R254" si="708">+R252/Q252-1</f>
        <v>-4.5157997160676921E-2</v>
      </c>
      <c r="S254" s="85">
        <f t="shared" ref="S254" si="709">+S252/R252-1</f>
        <v>7.3495732466664521E-2</v>
      </c>
      <c r="T254" s="85">
        <f t="shared" ref="T254" si="710">+T252/S252-1</f>
        <v>0.3443964383026763</v>
      </c>
      <c r="U254" s="85">
        <f t="shared" ref="U254" si="711">+U252/T252-1</f>
        <v>9.119617970055538E-2</v>
      </c>
      <c r="V254" s="85">
        <f t="shared" ref="V254" si="712">+V252/U252-1</f>
        <v>4.7787994657434663E-2</v>
      </c>
      <c r="W254" s="111">
        <f t="shared" ref="W254:X254" si="713">+W252/V252-1</f>
        <v>1.1122779470763566E-2</v>
      </c>
      <c r="X254" s="111">
        <f t="shared" si="713"/>
        <v>9.2662075343575623E-2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35" t="s">
        <v>126</v>
      </c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7"/>
      <c r="M256" s="2"/>
      <c r="N256" s="335" t="s">
        <v>127</v>
      </c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7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714">+C257+1</f>
        <v>2018</v>
      </c>
      <c r="E257" s="82">
        <f t="shared" si="714"/>
        <v>2019</v>
      </c>
      <c r="F257" s="82">
        <f t="shared" si="714"/>
        <v>2020</v>
      </c>
      <c r="G257" s="82">
        <f t="shared" si="714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15">+P257+1</f>
        <v>2018</v>
      </c>
      <c r="R257" s="82">
        <f t="shared" ref="R257" si="716">+Q257+1</f>
        <v>2019</v>
      </c>
      <c r="S257" s="82">
        <f t="shared" ref="S257" si="717">+R257+1</f>
        <v>2020</v>
      </c>
      <c r="T257" s="82">
        <f t="shared" ref="T257" si="718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104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6">
        <f>+'[1]EXP TOTAL VINO PAIS'!F231/1000</f>
        <v>1.4710000000000001</v>
      </c>
      <c r="H258" s="6">
        <f>+'[1]EXP TOTAL VINO PAIS'!F243/1000</f>
        <v>2.226</v>
      </c>
      <c r="I258" s="6">
        <f>+'[1]EXP TOTAL VINO PAIS'!F255/1000</f>
        <v>2.0499999999999998</v>
      </c>
      <c r="J258" s="105">
        <f>+'[1]EXP TOTAL VINO PAIS'!F267/1000</f>
        <v>1.4730000000000001</v>
      </c>
      <c r="K258" s="6">
        <f>+'[1]EXP TOTAL VINO PAIS'!F279/1000</f>
        <v>1.3540000000000001</v>
      </c>
      <c r="L258" s="91">
        <f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719">+SUM(D258)+SUM(C259:C269)</f>
        <v>29.805999999999997</v>
      </c>
      <c r="R258" s="6">
        <f t="shared" ref="R258:X258" si="720">+SUM(E258)+SUM(D259:D269)</f>
        <v>27.263999999999996</v>
      </c>
      <c r="S258" s="6">
        <f t="shared" si="720"/>
        <v>25.176000000000002</v>
      </c>
      <c r="T258" s="6">
        <f t="shared" si="720"/>
        <v>29.615999999999996</v>
      </c>
      <c r="U258" s="6">
        <f t="shared" si="720"/>
        <v>26.546000000000003</v>
      </c>
      <c r="V258" s="6">
        <f t="shared" si="720"/>
        <v>24.607000000000003</v>
      </c>
      <c r="W258" s="105">
        <f t="shared" si="720"/>
        <v>20.148</v>
      </c>
      <c r="X258" s="105">
        <f t="shared" si="720"/>
        <v>20.869</v>
      </c>
      <c r="Y258" s="117">
        <f>+X258/W258-1</f>
        <v>3.5785189596982292E-2</v>
      </c>
      <c r="Z258" s="113">
        <f>+POWER(X258/S258,0.2)-1</f>
        <v>-3.6829922952029248E-2</v>
      </c>
    </row>
    <row r="259" spans="1:26" x14ac:dyDescent="0.25">
      <c r="A259" s="89" t="s">
        <v>11</v>
      </c>
      <c r="B259" s="104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6">
        <f>+'[1]EXP TOTAL VINO PAIS'!F232/1000</f>
        <v>2.5049999999999999</v>
      </c>
      <c r="H259" s="6">
        <f>+'[1]EXP TOTAL VINO PAIS'!F244/1000</f>
        <v>2.0720000000000001</v>
      </c>
      <c r="I259" s="6">
        <f>+'[1]EXP TOTAL VINO PAIS'!F256/1000</f>
        <v>1.194</v>
      </c>
      <c r="J259" s="105">
        <f>+'[1]EXP TOTAL VINO PAIS'!F268/1000</f>
        <v>1.532</v>
      </c>
      <c r="K259" s="6">
        <f>+'[1]EXP TOTAL VINO PAIS'!F280/1000</f>
        <v>1.296</v>
      </c>
      <c r="L259" s="91">
        <f>+K259/J259-1</f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721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722">+SUM(J258:J259)+SUM(I260:I269)</f>
        <v>20.485999999999997</v>
      </c>
      <c r="X259" s="105">
        <f t="shared" ref="X259" si="723">+SUM(K258:K259)+SUM(J260:J269)</f>
        <v>20.633000000000003</v>
      </c>
      <c r="Y259" s="117">
        <f>+X259/W259-1</f>
        <v>7.175632139021948E-3</v>
      </c>
      <c r="Z259" s="113">
        <f>+POWER(X259/S259,0.2)-1</f>
        <v>-4.1525420235429933E-2</v>
      </c>
    </row>
    <row r="260" spans="1:26" x14ac:dyDescent="0.25">
      <c r="A260" s="89" t="s">
        <v>0</v>
      </c>
      <c r="B260" s="104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6">
        <f>+'[1]EXP TOTAL VINO PAIS'!F233/1000</f>
        <v>2.536</v>
      </c>
      <c r="H260" s="6">
        <f>+'[1]EXP TOTAL VINO PAIS'!F245/1000</f>
        <v>1.319</v>
      </c>
      <c r="I260" s="6">
        <f>+'[1]EXP TOTAL VINO PAIS'!F257/1000</f>
        <v>1.8320000000000001</v>
      </c>
      <c r="J260" s="105">
        <f>+'[1]EXP TOTAL VINO PAIS'!F269/1000</f>
        <v>2.4750000000000001</v>
      </c>
      <c r="K260" s="6">
        <f>+'[1]EXP TOTAL VINO PAIS'!F281/1000</f>
        <v>1.3740000000000001</v>
      </c>
      <c r="L260" s="91">
        <f>+K260/J260-1</f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724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725">+SUM(I258:I260)+SUM(H261:H269)</f>
        <v>24.242000000000001</v>
      </c>
      <c r="W260" s="105">
        <f t="shared" ref="W260" si="726">+SUM(J258:J260)+SUM(I261:I269)</f>
        <v>21.129000000000001</v>
      </c>
      <c r="X260" s="105">
        <f t="shared" ref="X260" si="727">+SUM(K258:K260)+SUM(J261:J269)</f>
        <v>19.532</v>
      </c>
      <c r="Y260" s="117">
        <f>+X260/W260-1</f>
        <v>-7.5583321501254241E-2</v>
      </c>
      <c r="Z260" s="113">
        <f>+POWER(X260/S260,0.2)-1</f>
        <v>-4.8621944425113695E-2</v>
      </c>
    </row>
    <row r="261" spans="1:26" x14ac:dyDescent="0.25">
      <c r="A261" s="89" t="s">
        <v>1</v>
      </c>
      <c r="B261" s="104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6">
        <f>+'[1]EXP TOTAL VINO PAIS'!F234/1000</f>
        <v>2.1869999999999998</v>
      </c>
      <c r="H261" s="6">
        <f>+'[1]EXP TOTAL VINO PAIS'!F246/1000</f>
        <v>2.6779999999999999</v>
      </c>
      <c r="I261" s="6">
        <f>+'[1]EXP TOTAL VINO PAIS'!F258/1000</f>
        <v>1.2649999999999999</v>
      </c>
      <c r="J261" s="105">
        <f>+'[1]EXP TOTAL VINO PAIS'!F270/1000</f>
        <v>1.254</v>
      </c>
      <c r="K261" s="6"/>
      <c r="L261" s="91"/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728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729">+SUM(I258:I261)+SUM(H262:H269)</f>
        <v>22.829000000000001</v>
      </c>
      <c r="W261" s="67">
        <f t="shared" ref="W261" si="730">+SUM(J258:J261)+SUM(I262:I269)</f>
        <v>21.118000000000002</v>
      </c>
      <c r="X261" s="37"/>
      <c r="Y261" s="78"/>
      <c r="Z261" s="7"/>
    </row>
    <row r="262" spans="1:26" x14ac:dyDescent="0.25">
      <c r="A262" s="89" t="s">
        <v>2</v>
      </c>
      <c r="B262" s="104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6">
        <f>+'[1]EXP TOTAL VINO PAIS'!F235/1000</f>
        <v>2.2789999999999999</v>
      </c>
      <c r="H262" s="6">
        <f>+'[1]EXP TOTAL VINO PAIS'!F247/1000</f>
        <v>1.8009999999999999</v>
      </c>
      <c r="I262" s="6">
        <f>+'[1]EXP TOTAL VINO PAIS'!F259/1000</f>
        <v>1.496</v>
      </c>
      <c r="J262" s="105">
        <f>+'[1]EXP TOTAL VINO PAIS'!F271/1000</f>
        <v>2.056</v>
      </c>
      <c r="K262" s="6"/>
      <c r="L262" s="91"/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731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732">+SUM(I258:I262)+SUM(H263:H269)</f>
        <v>22.523999999999997</v>
      </c>
      <c r="W262" s="105">
        <f t="shared" ref="W262" si="733">+SUM(J258:J262)+SUM(I263:I269)</f>
        <v>21.677999999999997</v>
      </c>
      <c r="X262" s="105"/>
      <c r="Y262" s="117"/>
      <c r="Z262" s="113"/>
    </row>
    <row r="263" spans="1:26" x14ac:dyDescent="0.25">
      <c r="A263" s="89" t="s">
        <v>3</v>
      </c>
      <c r="B263" s="104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6">
        <f>+'[1]EXP TOTAL VINO PAIS'!F236/1000</f>
        <v>0.80900000000000005</v>
      </c>
      <c r="H263" s="6">
        <f>+'[1]EXP TOTAL VINO PAIS'!F248/1000</f>
        <v>2.3239999999999998</v>
      </c>
      <c r="I263" s="6">
        <f>+'[1]EXP TOTAL VINO PAIS'!F260/1000</f>
        <v>1.208</v>
      </c>
      <c r="J263" s="105">
        <f>+'[1]EXP TOTAL VINO PAIS'!F272/1000</f>
        <v>0.83899999999999997</v>
      </c>
      <c r="K263" s="6"/>
      <c r="L263" s="91"/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734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735">+SUM(I258:I263)+SUM(H264:H269)</f>
        <v>21.408000000000001</v>
      </c>
      <c r="W263" s="105">
        <f t="shared" ref="W263" si="736">+SUM(J258:J263)+SUM(I264:I269)</f>
        <v>21.308999999999997</v>
      </c>
      <c r="X263" s="105"/>
      <c r="Y263" s="117"/>
      <c r="Z263" s="113"/>
    </row>
    <row r="264" spans="1:26" x14ac:dyDescent="0.25">
      <c r="A264" s="89" t="s">
        <v>4</v>
      </c>
      <c r="B264" s="104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6">
        <f>+'[1]EXP TOTAL VINO PAIS'!F237/1000</f>
        <v>2.6779999999999999</v>
      </c>
      <c r="H264" s="6">
        <f>+'[1]EXP TOTAL VINO PAIS'!F249/1000</f>
        <v>1.0129999999999999</v>
      </c>
      <c r="I264" s="6">
        <f>+'[1]EXP TOTAL VINO PAIS'!F261/1000</f>
        <v>1.252</v>
      </c>
      <c r="J264" s="105">
        <f>+'[1]EXP TOTAL VINO PAIS'!F273/1000</f>
        <v>2.5129999999999999</v>
      </c>
      <c r="K264" s="6"/>
      <c r="L264" s="91"/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737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738">+SUM(I258:I264)+SUM(H265:H269)</f>
        <v>21.646999999999998</v>
      </c>
      <c r="W264" s="105">
        <f t="shared" ref="W264" si="739">+SUM(J258:J264)+SUM(I265:I269)</f>
        <v>22.57</v>
      </c>
      <c r="X264" s="105"/>
      <c r="Y264" s="117"/>
      <c r="Z264" s="113"/>
    </row>
    <row r="265" spans="1:26" x14ac:dyDescent="0.25">
      <c r="A265" s="89" t="s">
        <v>5</v>
      </c>
      <c r="B265" s="104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6">
        <f>+'[1]EXP TOTAL VINO PAIS'!F238/1000</f>
        <v>1.748</v>
      </c>
      <c r="H265" s="6">
        <f>+'[1]EXP TOTAL VINO PAIS'!F250/1000</f>
        <v>2.1339999999999999</v>
      </c>
      <c r="I265" s="6">
        <f>+'[1]EXP TOTAL VINO PAIS'!F262/1000</f>
        <v>1.756</v>
      </c>
      <c r="J265" s="105">
        <f>+'[1]EXP TOTAL VINO PAIS'!F274/1000</f>
        <v>1.4059999999999999</v>
      </c>
      <c r="K265" s="6"/>
      <c r="L265" s="91"/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740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741">+SUM(I258:I265)+SUM(H266:H269)</f>
        <v>21.269000000000002</v>
      </c>
      <c r="W265" s="105">
        <f t="shared" ref="W265" si="742">+SUM(J258:J265)+SUM(I266:I269)</f>
        <v>22.22</v>
      </c>
      <c r="X265" s="105"/>
      <c r="Y265" s="117"/>
      <c r="Z265" s="113"/>
    </row>
    <row r="266" spans="1:26" x14ac:dyDescent="0.25">
      <c r="A266" s="89" t="s">
        <v>6</v>
      </c>
      <c r="B266" s="104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6">
        <f>+'[1]EXP TOTAL VINO PAIS'!F239/1000</f>
        <v>2.7210000000000001</v>
      </c>
      <c r="H266" s="6">
        <f>+'[1]EXP TOTAL VINO PAIS'!F251/1000</f>
        <v>3.2440000000000002</v>
      </c>
      <c r="I266" s="6">
        <f>+'[1]EXP TOTAL VINO PAIS'!F263/1000</f>
        <v>3.2719999999999998</v>
      </c>
      <c r="J266" s="105">
        <f>+'[1]EXP TOTAL VINO PAIS'!F275/1000</f>
        <v>1.5029999999999999</v>
      </c>
      <c r="K266" s="6"/>
      <c r="L266" s="91"/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74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744">+SUM(I258:I266)+SUM(H267:H269)</f>
        <v>21.297000000000001</v>
      </c>
      <c r="W266" s="105">
        <f t="shared" ref="W266" si="745">+SUM(J258:J266)+SUM(I267:I269)</f>
        <v>20.451000000000001</v>
      </c>
      <c r="X266" s="105"/>
      <c r="Y266" s="117"/>
      <c r="Z266" s="113"/>
    </row>
    <row r="267" spans="1:26" x14ac:dyDescent="0.25">
      <c r="A267" s="89" t="s">
        <v>7</v>
      </c>
      <c r="B267" s="104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6">
        <f>+'[1]EXP TOTAL VINO PAIS'!F240/1000</f>
        <v>1.946</v>
      </c>
      <c r="H267" s="6">
        <f>+'[1]EXP TOTAL VINO PAIS'!F252/1000</f>
        <v>2.9729999999999999</v>
      </c>
      <c r="I267" s="6">
        <f>+'[1]EXP TOTAL VINO PAIS'!F264/1000</f>
        <v>1.891</v>
      </c>
      <c r="J267" s="105">
        <f>+'[1]EXP TOTAL VINO PAIS'!F276/1000</f>
        <v>2.754</v>
      </c>
      <c r="K267" s="6"/>
      <c r="L267" s="91"/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746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747">+SUM(I258:I267)+SUM(H268:H269)</f>
        <v>20.215</v>
      </c>
      <c r="W267" s="105">
        <f t="shared" ref="W267" si="748">+SUM(J258:J267)+SUM(I268:I269)</f>
        <v>21.314</v>
      </c>
      <c r="X267" s="105"/>
      <c r="Y267" s="117"/>
      <c r="Z267" s="113"/>
    </row>
    <row r="268" spans="1:26" x14ac:dyDescent="0.25">
      <c r="A268" s="89" t="s">
        <v>8</v>
      </c>
      <c r="B268" s="104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6">
        <f>+'[1]EXP TOTAL VINO PAIS'!F241/1000</f>
        <v>2.6549999999999998</v>
      </c>
      <c r="H268" s="6">
        <f>+'[1]EXP TOTAL VINO PAIS'!F253/1000</f>
        <v>1.4370000000000001</v>
      </c>
      <c r="I268" s="6">
        <f>+'[1]EXP TOTAL VINO PAIS'!F265/1000</f>
        <v>2.0129999999999999</v>
      </c>
      <c r="J268" s="105">
        <f>+'[1]EXP TOTAL VINO PAIS'!F277/1000</f>
        <v>1.6279999999999999</v>
      </c>
      <c r="K268" s="6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749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750">+SUM(I258:I268)+SUM(H269)</f>
        <v>20.791</v>
      </c>
      <c r="W268" s="105">
        <f t="shared" ref="W268" si="751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104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6">
        <f>+'[1]EXP TOTAL VINO PAIS'!F242/1000</f>
        <v>2.2559999999999998</v>
      </c>
      <c r="H269" s="6">
        <f>+'[1]EXP TOTAL VINO PAIS'!F254/1000</f>
        <v>1.5620000000000001</v>
      </c>
      <c r="I269" s="6">
        <f>+'[1]EXP TOTAL VINO PAIS'!F266/1000</f>
        <v>1.496</v>
      </c>
      <c r="J269" s="105">
        <f>+'[1]EXP TOTAL VINO PAIS'!F278/1000</f>
        <v>1.5549999999999999</v>
      </c>
      <c r="K269" s="6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752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753">+SUM(I258:I269)</f>
        <v>20.724999999999998</v>
      </c>
      <c r="W269" s="105">
        <f t="shared" ref="W269" si="754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106">
        <f t="shared" ref="B270:G270" si="755">SUM(B258:B269)</f>
        <v>33.632000000000005</v>
      </c>
      <c r="C270" s="83">
        <f t="shared" si="755"/>
        <v>28.826000000000001</v>
      </c>
      <c r="D270" s="83">
        <f t="shared" si="755"/>
        <v>28.803000000000001</v>
      </c>
      <c r="E270" s="83">
        <f t="shared" si="755"/>
        <v>24.947000000000003</v>
      </c>
      <c r="F270" s="83">
        <f t="shared" si="755"/>
        <v>30.282999999999998</v>
      </c>
      <c r="G270" s="83">
        <f t="shared" si="755"/>
        <v>25.791000000000004</v>
      </c>
      <c r="H270" s="83">
        <f t="shared" ref="H270:I270" si="756">SUM(H258:H269)</f>
        <v>24.783000000000001</v>
      </c>
      <c r="I270" s="83">
        <f t="shared" si="756"/>
        <v>20.724999999999998</v>
      </c>
      <c r="J270" s="107">
        <f t="shared" ref="J270" si="757">SUM(J258:J269)</f>
        <v>20.988</v>
      </c>
      <c r="K270" s="83"/>
      <c r="L270" s="94"/>
      <c r="M270" s="3"/>
      <c r="N270" s="92" t="s">
        <v>14</v>
      </c>
      <c r="O270" s="106">
        <f t="shared" ref="O270" si="758">+AVERAGE(O258:O269)</f>
        <v>33.313833333333335</v>
      </c>
      <c r="P270" s="83">
        <f>+AVERAGE(P258:P269)</f>
        <v>31.810500000000005</v>
      </c>
      <c r="Q270" s="83">
        <f t="shared" ref="Q270:W270" si="759">+AVERAGE(Q258:Q269)</f>
        <v>28.541499999999999</v>
      </c>
      <c r="R270" s="83">
        <f t="shared" si="759"/>
        <v>26.312249999999995</v>
      </c>
      <c r="S270" s="83">
        <f t="shared" si="759"/>
        <v>27.994916666666668</v>
      </c>
      <c r="T270" s="83">
        <f t="shared" si="759"/>
        <v>28.411249999999999</v>
      </c>
      <c r="U270" s="83">
        <f t="shared" si="759"/>
        <v>25.566833333333335</v>
      </c>
      <c r="V270" s="83">
        <f t="shared" si="759"/>
        <v>22.106916666666667</v>
      </c>
      <c r="W270" s="107">
        <f t="shared" si="759"/>
        <v>21.194999999999997</v>
      </c>
      <c r="X270" s="107">
        <f t="shared" ref="X270" si="760">+AVERAGE(X258:X269)</f>
        <v>20.344666666666669</v>
      </c>
      <c r="Y270" s="119">
        <f>+X270/W270-1</f>
        <v>-4.0119525045214877E-2</v>
      </c>
      <c r="Z270" s="173">
        <f>+POWER(X270/S270,0.2)-1</f>
        <v>-6.1845686104906483E-2</v>
      </c>
    </row>
    <row r="271" spans="1:26" ht="25.5" x14ac:dyDescent="0.25">
      <c r="A271" s="95" t="s">
        <v>15</v>
      </c>
      <c r="B271" s="108">
        <f t="shared" ref="B271:G271" si="761">+B270/B$360</f>
        <v>4.1174007683398919E-2</v>
      </c>
      <c r="C271" s="84">
        <f t="shared" si="761"/>
        <v>3.5767551859600011E-2</v>
      </c>
      <c r="D271" s="84">
        <f t="shared" si="761"/>
        <v>3.4944071045543881E-2</v>
      </c>
      <c r="E271" s="84">
        <f t="shared" si="761"/>
        <v>3.1336751690127049E-2</v>
      </c>
      <c r="F271" s="84">
        <f t="shared" si="761"/>
        <v>3.881520256759944E-2</v>
      </c>
      <c r="G271" s="84">
        <f t="shared" si="761"/>
        <v>3.1208404524619683E-2</v>
      </c>
      <c r="H271" s="84">
        <f t="shared" ref="H271:I271" si="762">+H270/H$360</f>
        <v>3.1468877771287811E-2</v>
      </c>
      <c r="I271" s="84">
        <f t="shared" si="762"/>
        <v>3.1777208420155259E-2</v>
      </c>
      <c r="J271" s="109">
        <f t="shared" ref="J271" si="763">+J270/J$360</f>
        <v>3.0809656275918765E-2</v>
      </c>
      <c r="K271" s="84"/>
      <c r="L271" s="97"/>
      <c r="M271" s="3"/>
      <c r="N271" s="95" t="s">
        <v>15</v>
      </c>
      <c r="O271" s="108">
        <f t="shared" ref="O271:W271" si="764">+O270/O$360</f>
        <v>4.1389942361829392E-2</v>
      </c>
      <c r="P271" s="84">
        <f t="shared" si="764"/>
        <v>3.9245134196982771E-2</v>
      </c>
      <c r="Q271" s="84">
        <f t="shared" si="764"/>
        <v>3.5232494157286791E-2</v>
      </c>
      <c r="R271" s="84">
        <f t="shared" si="764"/>
        <v>3.2205469892214934E-2</v>
      </c>
      <c r="S271" s="84">
        <f t="shared" si="764"/>
        <v>3.5610229539003356E-2</v>
      </c>
      <c r="T271" s="84">
        <f t="shared" si="764"/>
        <v>3.5431602826006395E-2</v>
      </c>
      <c r="U271" s="84">
        <f t="shared" si="764"/>
        <v>3.1237667412646084E-2</v>
      </c>
      <c r="V271" s="84">
        <f t="shared" si="764"/>
        <v>3.1033225811659175E-2</v>
      </c>
      <c r="W271" s="109">
        <f t="shared" si="764"/>
        <v>3.2406217039855037E-2</v>
      </c>
      <c r="X271" s="109">
        <f t="shared" ref="X271" si="765">+X270/X$360</f>
        <v>3.0006823978713914E-2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766">+D270/C270-1</f>
        <v>-7.9789079303405064E-4</v>
      </c>
      <c r="E272" s="85">
        <f t="shared" si="766"/>
        <v>-0.1338749435822657</v>
      </c>
      <c r="F272" s="85">
        <f t="shared" si="766"/>
        <v>0.21389345412273997</v>
      </c>
      <c r="G272" s="85">
        <f t="shared" si="766"/>
        <v>-0.14833404880626078</v>
      </c>
      <c r="H272" s="85">
        <f t="shared" si="766"/>
        <v>-3.9083401186460476E-2</v>
      </c>
      <c r="I272" s="85">
        <f t="shared" si="766"/>
        <v>-0.16374127426058194</v>
      </c>
      <c r="J272" s="111">
        <f t="shared" si="766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767">+Q270/P270-1</f>
        <v>-0.10276481036135887</v>
      </c>
      <c r="R272" s="85">
        <f t="shared" ref="R272" si="768">+R270/Q270-1</f>
        <v>-7.810556557994508E-2</v>
      </c>
      <c r="S272" s="85">
        <f t="shared" ref="S272" si="769">+S270/R270-1</f>
        <v>6.3949934599537128E-2</v>
      </c>
      <c r="T272" s="85">
        <f t="shared" ref="T272" si="770">+T270/S270-1</f>
        <v>1.4871747549406233E-2</v>
      </c>
      <c r="U272" s="85">
        <f t="shared" ref="U272" si="771">+U270/T270-1</f>
        <v>-0.10011585786146915</v>
      </c>
      <c r="V272" s="85">
        <f t="shared" ref="V272" si="772">+V270/U270-1</f>
        <v>-0.13532832250115712</v>
      </c>
      <c r="W272" s="111">
        <f t="shared" ref="W272:X272" si="773">+W270/V270-1</f>
        <v>-4.1250287428896804E-2</v>
      </c>
      <c r="X272" s="111">
        <f t="shared" si="773"/>
        <v>-4.0119525045214877E-2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35" t="s">
        <v>128</v>
      </c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7"/>
      <c r="M274" s="2"/>
      <c r="N274" s="335" t="s">
        <v>187</v>
      </c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7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774">+C275+1</f>
        <v>2018</v>
      </c>
      <c r="E275" s="82">
        <f t="shared" si="774"/>
        <v>2019</v>
      </c>
      <c r="F275" s="82">
        <f t="shared" si="774"/>
        <v>2020</v>
      </c>
      <c r="G275" s="82">
        <f t="shared" si="774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775">+P275+1</f>
        <v>2018</v>
      </c>
      <c r="R275" s="82">
        <f t="shared" ref="R275" si="776">+Q275+1</f>
        <v>2019</v>
      </c>
      <c r="S275" s="82">
        <f t="shared" ref="S275" si="777">+R275+1</f>
        <v>2020</v>
      </c>
      <c r="T275" s="82">
        <f t="shared" ref="T275" si="778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104">
        <f>+'[1]EXP TOTAL VINO PAIS'!G171/1000</f>
        <v>1.2410000000000001</v>
      </c>
      <c r="C276" s="6">
        <f>+'[1]EXP TOTAL VINO PAIS'!G183/1000</f>
        <v>1.022</v>
      </c>
      <c r="D276" s="6">
        <f>+'[1]EXP TOTAL VINO PAIS'!G195/1000</f>
        <v>1.575</v>
      </c>
      <c r="E276" s="6">
        <f>+'[1]EXP TOTAL VINO PAIS'!G207/1000</f>
        <v>1.4710000000000001</v>
      </c>
      <c r="F276" s="6">
        <f>+'[1]EXP TOTAL VINO PAIS'!G219/1000</f>
        <v>2.6970000000000001</v>
      </c>
      <c r="G276" s="6">
        <f>+'[1]EXP TOTAL VINO PAIS'!G231/1000</f>
        <v>0.97399999999999998</v>
      </c>
      <c r="H276" s="6">
        <f>+'[1]EXP TOTAL VINO PAIS'!G243/1000</f>
        <v>0.64900000000000002</v>
      </c>
      <c r="I276" s="6">
        <f>+'[1]EXP TOTAL VINO PAIS'!G255/1000</f>
        <v>0.434</v>
      </c>
      <c r="J276" s="105">
        <f>+'[1]EXP TOTAL VINO PAIS'!G267/1000</f>
        <v>0.36199999999999999</v>
      </c>
      <c r="K276" s="6">
        <f>+'[1]EXP TOTAL VINO PAIS'!G279/1000</f>
        <v>0.28699999999999998</v>
      </c>
      <c r="L276" s="91">
        <f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779">+SUM(D276)+SUM(C277:C287)</f>
        <v>22.567000000000004</v>
      </c>
      <c r="R276" s="6">
        <f t="shared" ref="R276:X276" si="780">+SUM(E276)+SUM(D277:D287)</f>
        <v>23.985999999999994</v>
      </c>
      <c r="S276" s="6">
        <f t="shared" si="780"/>
        <v>26.215</v>
      </c>
      <c r="T276" s="6">
        <f t="shared" si="780"/>
        <v>21.397000000000002</v>
      </c>
      <c r="U276" s="6">
        <f t="shared" si="780"/>
        <v>24.946000000000002</v>
      </c>
      <c r="V276" s="6">
        <f t="shared" si="780"/>
        <v>15.37</v>
      </c>
      <c r="W276" s="105">
        <f t="shared" si="780"/>
        <v>14.215</v>
      </c>
      <c r="X276" s="105">
        <f t="shared" si="780"/>
        <v>8.6660000000000004</v>
      </c>
      <c r="Y276" s="117">
        <f>+X276/W276-1</f>
        <v>-0.39036229335209283</v>
      </c>
      <c r="Z276" s="113">
        <f>+POWER(X276/S276,0.2)-1</f>
        <v>-0.19859183189825047</v>
      </c>
    </row>
    <row r="277" spans="1:26" x14ac:dyDescent="0.25">
      <c r="A277" s="89" t="s">
        <v>11</v>
      </c>
      <c r="B277" s="104">
        <f>+'[1]EXP TOTAL VINO PAIS'!G172/1000</f>
        <v>1.2270000000000001</v>
      </c>
      <c r="C277" s="6">
        <f>+'[1]EXP TOTAL VINO PAIS'!G184/1000</f>
        <v>0.86599999999999999</v>
      </c>
      <c r="D277" s="6">
        <f>+'[1]EXP TOTAL VINO PAIS'!G196/1000</f>
        <v>1.33</v>
      </c>
      <c r="E277" s="6">
        <f>+'[1]EXP TOTAL VINO PAIS'!G208/1000</f>
        <v>0.98</v>
      </c>
      <c r="F277" s="6">
        <f>+'[1]EXP TOTAL VINO PAIS'!G220/1000</f>
        <v>1.39</v>
      </c>
      <c r="G277" s="6">
        <f>+'[1]EXP TOTAL VINO PAIS'!G232/1000</f>
        <v>2.7120000000000002</v>
      </c>
      <c r="H277" s="6">
        <f>+'[1]EXP TOTAL VINO PAIS'!G244/1000</f>
        <v>1.4770000000000001</v>
      </c>
      <c r="I277" s="6">
        <f>+'[1]EXP TOTAL VINO PAIS'!G256/1000</f>
        <v>0.97099999999999997</v>
      </c>
      <c r="J277" s="105">
        <f>+'[1]EXP TOTAL VINO PAIS'!G268/1000</f>
        <v>0.48399999999999999</v>
      </c>
      <c r="K277" s="6">
        <f>+'[1]EXP TOTAL VINO PAIS'!G280/1000</f>
        <v>0.58099999999999996</v>
      </c>
      <c r="L277" s="91">
        <f>+K277/J277-1</f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781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782">+SUM(J276:J277)+SUM(I278:I287)</f>
        <v>13.728</v>
      </c>
      <c r="X277" s="105">
        <f t="shared" ref="X277" si="783">+SUM(K276:K277)+SUM(J278:J287)</f>
        <v>8.7629999999999999</v>
      </c>
      <c r="Y277" s="117">
        <f>+X277/W277-1</f>
        <v>-0.36166958041958042</v>
      </c>
      <c r="Z277" s="113">
        <f>+POWER(X277/S277,0.2)-1</f>
        <v>-0.19929481824327544</v>
      </c>
    </row>
    <row r="278" spans="1:26" x14ac:dyDescent="0.25">
      <c r="A278" s="89" t="s">
        <v>0</v>
      </c>
      <c r="B278" s="104">
        <f>+'[1]EXP TOTAL VINO PAIS'!G173/1000</f>
        <v>1.3009999999999999</v>
      </c>
      <c r="C278" s="6">
        <f>+'[1]EXP TOTAL VINO PAIS'!G185/1000</f>
        <v>1.478</v>
      </c>
      <c r="D278" s="6">
        <f>+'[1]EXP TOTAL VINO PAIS'!G197/1000</f>
        <v>2.2549999999999999</v>
      </c>
      <c r="E278" s="6">
        <f>+'[1]EXP TOTAL VINO PAIS'!G209/1000</f>
        <v>1.46</v>
      </c>
      <c r="F278" s="6">
        <f>+'[1]EXP TOTAL VINO PAIS'!G221/1000</f>
        <v>0.72299999999999998</v>
      </c>
      <c r="G278" s="6">
        <f>+'[1]EXP TOTAL VINO PAIS'!G233/1000</f>
        <v>2.3079999999999998</v>
      </c>
      <c r="H278" s="6">
        <f>+'[1]EXP TOTAL VINO PAIS'!G245/1000</f>
        <v>1.355</v>
      </c>
      <c r="I278" s="6">
        <f>+'[1]EXP TOTAL VINO PAIS'!G257/1000</f>
        <v>1.5609999999999999</v>
      </c>
      <c r="J278" s="105">
        <f>+'[1]EXP TOTAL VINO PAIS'!G269/1000</f>
        <v>0.877</v>
      </c>
      <c r="K278" s="6">
        <f>+'[1]EXP TOTAL VINO PAIS'!G281/1000</f>
        <v>0.58099999999999996</v>
      </c>
      <c r="L278" s="91">
        <f>+K278/J278-1</f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784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785">+SUM(I276:I278)+SUM(H279:H287)</f>
        <v>15.07</v>
      </c>
      <c r="W278" s="105">
        <f t="shared" ref="W278" si="786">+SUM(J276:J278)+SUM(I279:I287)</f>
        <v>13.044</v>
      </c>
      <c r="X278" s="105">
        <f t="shared" ref="X278" si="787">+SUM(K276:K278)+SUM(J279:J287)</f>
        <v>8.4669999999999987</v>
      </c>
      <c r="Y278" s="117">
        <f>+X278/W278-1</f>
        <v>-0.35088929776142297</v>
      </c>
      <c r="Z278" s="113">
        <f>+POWER(X278/S278,0.2)-1</f>
        <v>-0.20030162786677985</v>
      </c>
    </row>
    <row r="279" spans="1:26" x14ac:dyDescent="0.25">
      <c r="A279" s="89" t="s">
        <v>1</v>
      </c>
      <c r="B279" s="104">
        <f>+'[1]EXP TOTAL VINO PAIS'!G174/1000</f>
        <v>1.891</v>
      </c>
      <c r="C279" s="6">
        <f>+'[1]EXP TOTAL VINO PAIS'!G186/1000</f>
        <v>1.79</v>
      </c>
      <c r="D279" s="6">
        <f>+'[1]EXP TOTAL VINO PAIS'!G198/1000</f>
        <v>1.5940000000000001</v>
      </c>
      <c r="E279" s="6">
        <f>+'[1]EXP TOTAL VINO PAIS'!G210/1000</f>
        <v>1.4339999999999999</v>
      </c>
      <c r="F279" s="6">
        <f>+'[1]EXP TOTAL VINO PAIS'!G222/1000</f>
        <v>2.1110000000000002</v>
      </c>
      <c r="G279" s="6">
        <f>+'[1]EXP TOTAL VINO PAIS'!G234/1000</f>
        <v>1.2250000000000001</v>
      </c>
      <c r="H279" s="6">
        <f>+'[1]EXP TOTAL VINO PAIS'!G246/1000</f>
        <v>1.2390000000000001</v>
      </c>
      <c r="I279" s="6">
        <f>+'[1]EXP TOTAL VINO PAIS'!G258/1000</f>
        <v>1.4139999999999999</v>
      </c>
      <c r="J279" s="105">
        <f>+'[1]EXP TOTAL VINO PAIS'!G270/1000</f>
        <v>0.94699999999999995</v>
      </c>
      <c r="K279" s="6"/>
      <c r="L279" s="91"/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788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789">+SUM(I276:I279)+SUM(H280:H287)</f>
        <v>15.244999999999997</v>
      </c>
      <c r="W279" s="67">
        <f t="shared" ref="W279" si="790">+SUM(J276:J279)+SUM(I280:I287)</f>
        <v>12.577</v>
      </c>
      <c r="X279" s="37"/>
      <c r="Y279" s="78"/>
      <c r="Z279" s="7"/>
    </row>
    <row r="280" spans="1:26" x14ac:dyDescent="0.25">
      <c r="A280" s="89" t="s">
        <v>2</v>
      </c>
      <c r="B280" s="104">
        <f>+'[1]EXP TOTAL VINO PAIS'!G175/1000</f>
        <v>2.367</v>
      </c>
      <c r="C280" s="6">
        <f>+'[1]EXP TOTAL VINO PAIS'!G187/1000</f>
        <v>2.3149999999999999</v>
      </c>
      <c r="D280" s="6">
        <f>+'[1]EXP TOTAL VINO PAIS'!G199/1000</f>
        <v>1.3320000000000001</v>
      </c>
      <c r="E280" s="6">
        <f>+'[1]EXP TOTAL VINO PAIS'!G211/1000</f>
        <v>2.9470000000000001</v>
      </c>
      <c r="F280" s="6">
        <f>+'[1]EXP TOTAL VINO PAIS'!G223/1000</f>
        <v>1.6319999999999999</v>
      </c>
      <c r="G280" s="6">
        <f>+'[1]EXP TOTAL VINO PAIS'!G235/1000</f>
        <v>1.9079999999999999</v>
      </c>
      <c r="H280" s="6">
        <f>+'[1]EXP TOTAL VINO PAIS'!G247/1000</f>
        <v>1.538</v>
      </c>
      <c r="I280" s="6">
        <f>+'[1]EXP TOTAL VINO PAIS'!G259/1000</f>
        <v>0.996</v>
      </c>
      <c r="J280" s="105">
        <f>+'[1]EXP TOTAL VINO PAIS'!G271/1000</f>
        <v>0.81899999999999995</v>
      </c>
      <c r="K280" s="6"/>
      <c r="L280" s="91"/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791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792">+SUM(I276:I280)+SUM(H281:H287)</f>
        <v>14.702999999999999</v>
      </c>
      <c r="W280" s="105">
        <f t="shared" ref="W280" si="793">+SUM(J276:J280)+SUM(I281:I287)</f>
        <v>12.399999999999999</v>
      </c>
      <c r="X280" s="105"/>
      <c r="Y280" s="117"/>
      <c r="Z280" s="113"/>
    </row>
    <row r="281" spans="1:26" x14ac:dyDescent="0.25">
      <c r="A281" s="89" t="s">
        <v>3</v>
      </c>
      <c r="B281" s="104">
        <f>+'[1]EXP TOTAL VINO PAIS'!G176/1000</f>
        <v>1.2809999999999999</v>
      </c>
      <c r="C281" s="6">
        <f>+'[1]EXP TOTAL VINO PAIS'!G188/1000</f>
        <v>1.784</v>
      </c>
      <c r="D281" s="6">
        <f>+'[1]EXP TOTAL VINO PAIS'!G200/1000</f>
        <v>1.56</v>
      </c>
      <c r="E281" s="6">
        <f>+'[1]EXP TOTAL VINO PAIS'!G212/1000</f>
        <v>1.64</v>
      </c>
      <c r="F281" s="6">
        <f>+'[1]EXP TOTAL VINO PAIS'!G224/1000</f>
        <v>1.0289999999999999</v>
      </c>
      <c r="G281" s="6">
        <f>+'[1]EXP TOTAL VINO PAIS'!G236/1000</f>
        <v>1.768</v>
      </c>
      <c r="H281" s="6">
        <f>+'[1]EXP TOTAL VINO PAIS'!G248/1000</f>
        <v>1.2669999999999999</v>
      </c>
      <c r="I281" s="6">
        <f>+'[1]EXP TOTAL VINO PAIS'!G260/1000</f>
        <v>1.4410000000000001</v>
      </c>
      <c r="J281" s="105">
        <f>+'[1]EXP TOTAL VINO PAIS'!G272/1000</f>
        <v>0.54500000000000004</v>
      </c>
      <c r="K281" s="6"/>
      <c r="L281" s="91"/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794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795">+SUM(I276:I281)+SUM(H282:H287)</f>
        <v>14.876999999999999</v>
      </c>
      <c r="W281" s="105">
        <f t="shared" ref="W281" si="796">+SUM(J276:J281)+SUM(I282:I287)</f>
        <v>11.504000000000001</v>
      </c>
      <c r="X281" s="105"/>
      <c r="Y281" s="117"/>
      <c r="Z281" s="113"/>
    </row>
    <row r="282" spans="1:26" x14ac:dyDescent="0.25">
      <c r="A282" s="89" t="s">
        <v>4</v>
      </c>
      <c r="B282" s="104">
        <f>+'[1]EXP TOTAL VINO PAIS'!G177/1000</f>
        <v>1.7390000000000001</v>
      </c>
      <c r="C282" s="6">
        <f>+'[1]EXP TOTAL VINO PAIS'!G189/1000</f>
        <v>1.974</v>
      </c>
      <c r="D282" s="6">
        <f>+'[1]EXP TOTAL VINO PAIS'!G201/1000</f>
        <v>1.716</v>
      </c>
      <c r="E282" s="6">
        <f>+'[1]EXP TOTAL VINO PAIS'!G213/1000</f>
        <v>2.181</v>
      </c>
      <c r="F282" s="6">
        <f>+'[1]EXP TOTAL VINO PAIS'!G225/1000</f>
        <v>1.4570000000000001</v>
      </c>
      <c r="G282" s="6">
        <f>+'[1]EXP TOTAL VINO PAIS'!G237/1000</f>
        <v>2.3260000000000001</v>
      </c>
      <c r="H282" s="6">
        <f>+'[1]EXP TOTAL VINO PAIS'!G249/1000</f>
        <v>0.60599999999999998</v>
      </c>
      <c r="I282" s="6">
        <f>+'[1]EXP TOTAL VINO PAIS'!G261/1000</f>
        <v>1.4670000000000001</v>
      </c>
      <c r="J282" s="105">
        <f>+'[1]EXP TOTAL VINO PAIS'!G273/1000</f>
        <v>0.86699999999999999</v>
      </c>
      <c r="K282" s="6"/>
      <c r="L282" s="91"/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797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798">+SUM(I276:I282)+SUM(H283:H287)</f>
        <v>15.738</v>
      </c>
      <c r="W282" s="105">
        <f t="shared" ref="W282" si="799">+SUM(J276:J282)+SUM(I283:I287)</f>
        <v>10.904</v>
      </c>
      <c r="X282" s="105"/>
      <c r="Y282" s="117"/>
      <c r="Z282" s="113"/>
    </row>
    <row r="283" spans="1:26" x14ac:dyDescent="0.25">
      <c r="A283" s="89" t="s">
        <v>5</v>
      </c>
      <c r="B283" s="104">
        <f>+'[1]EXP TOTAL VINO PAIS'!G178/1000</f>
        <v>2.823</v>
      </c>
      <c r="C283" s="6">
        <f>+'[1]EXP TOTAL VINO PAIS'!G190/1000</f>
        <v>2.0539999999999998</v>
      </c>
      <c r="D283" s="6">
        <f>+'[1]EXP TOTAL VINO PAIS'!G202/1000</f>
        <v>3.101</v>
      </c>
      <c r="E283" s="6">
        <f>+'[1]EXP TOTAL VINO PAIS'!G214/1000</f>
        <v>2.044</v>
      </c>
      <c r="F283" s="6">
        <f>+'[1]EXP TOTAL VINO PAIS'!G226/1000</f>
        <v>2.1829999999999998</v>
      </c>
      <c r="G283" s="6">
        <f>+'[1]EXP TOTAL VINO PAIS'!G238/1000</f>
        <v>2.5659999999999998</v>
      </c>
      <c r="H283" s="6">
        <f>+'[1]EXP TOTAL VINO PAIS'!G250/1000</f>
        <v>2.1259999999999999</v>
      </c>
      <c r="I283" s="6">
        <f>+'[1]EXP TOTAL VINO PAIS'!G262/1000</f>
        <v>1.3819999999999999</v>
      </c>
      <c r="J283" s="105">
        <f>+'[1]EXP TOTAL VINO PAIS'!G274/1000</f>
        <v>1.0740000000000001</v>
      </c>
      <c r="K283" s="6"/>
      <c r="L283" s="91"/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800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801">+SUM(I276:I283)+SUM(H284:H287)</f>
        <v>14.993999999999998</v>
      </c>
      <c r="W283" s="105">
        <f t="shared" ref="W283" si="802">+SUM(J276:J283)+SUM(I284:I287)</f>
        <v>10.596</v>
      </c>
      <c r="X283" s="105"/>
      <c r="Y283" s="117"/>
      <c r="Z283" s="113"/>
    </row>
    <row r="284" spans="1:26" x14ac:dyDescent="0.25">
      <c r="A284" s="89" t="s">
        <v>6</v>
      </c>
      <c r="B284" s="104">
        <f>+'[1]EXP TOTAL VINO PAIS'!G179/1000</f>
        <v>2.1139999999999999</v>
      </c>
      <c r="C284" s="6">
        <f>+'[1]EXP TOTAL VINO PAIS'!G191/1000</f>
        <v>1.595</v>
      </c>
      <c r="D284" s="6">
        <f>+'[1]EXP TOTAL VINO PAIS'!G203/1000</f>
        <v>2.2839999999999998</v>
      </c>
      <c r="E284" s="6">
        <f>+'[1]EXP TOTAL VINO PAIS'!G215/1000</f>
        <v>3.8290000000000002</v>
      </c>
      <c r="F284" s="6">
        <f>+'[1]EXP TOTAL VINO PAIS'!G227/1000</f>
        <v>1.5529999999999999</v>
      </c>
      <c r="G284" s="6">
        <f>+'[1]EXP TOTAL VINO PAIS'!G239/1000</f>
        <v>2.9279999999999999</v>
      </c>
      <c r="H284" s="6">
        <f>+'[1]EXP TOTAL VINO PAIS'!G251/1000</f>
        <v>1.202</v>
      </c>
      <c r="I284" s="6">
        <f>+'[1]EXP TOTAL VINO PAIS'!G263/1000</f>
        <v>1.5580000000000001</v>
      </c>
      <c r="J284" s="105">
        <f>+'[1]EXP TOTAL VINO PAIS'!G275/1000</f>
        <v>1.335</v>
      </c>
      <c r="K284" s="6"/>
      <c r="L284" s="91"/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803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804">+SUM(I276:I284)+SUM(H285:H287)</f>
        <v>15.349999999999998</v>
      </c>
      <c r="W284" s="105">
        <f t="shared" ref="W284" si="805">+SUM(J276:J284)+SUM(I285:I287)</f>
        <v>10.372999999999999</v>
      </c>
      <c r="X284" s="105"/>
      <c r="Y284" s="117"/>
      <c r="Z284" s="113"/>
    </row>
    <row r="285" spans="1:26" x14ac:dyDescent="0.25">
      <c r="A285" s="89" t="s">
        <v>7</v>
      </c>
      <c r="B285" s="104">
        <f>+'[1]EXP TOTAL VINO PAIS'!G180/1000</f>
        <v>1.8080000000000001</v>
      </c>
      <c r="C285" s="6">
        <f>+'[1]EXP TOTAL VINO PAIS'!G192/1000</f>
        <v>1.462</v>
      </c>
      <c r="D285" s="6">
        <f>+'[1]EXP TOTAL VINO PAIS'!G204/1000</f>
        <v>2.1989999999999998</v>
      </c>
      <c r="E285" s="6">
        <f>+'[1]EXP TOTAL VINO PAIS'!G216/1000</f>
        <v>2.3730000000000002</v>
      </c>
      <c r="F285" s="6">
        <f>+'[1]EXP TOTAL VINO PAIS'!G228/1000</f>
        <v>1.992</v>
      </c>
      <c r="G285" s="6">
        <f>+'[1]EXP TOTAL VINO PAIS'!G240/1000</f>
        <v>2.1539999999999999</v>
      </c>
      <c r="H285" s="6">
        <f>+'[1]EXP TOTAL VINO PAIS'!G252/1000</f>
        <v>1.274</v>
      </c>
      <c r="I285" s="6">
        <f>+'[1]EXP TOTAL VINO PAIS'!G264/1000</f>
        <v>0.55700000000000005</v>
      </c>
      <c r="J285" s="105">
        <f>+'[1]EXP TOTAL VINO PAIS'!G276/1000</f>
        <v>0.48799999999999999</v>
      </c>
      <c r="K285" s="6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806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807">+SUM(I276:I285)+SUM(H286:H287)</f>
        <v>14.632999999999999</v>
      </c>
      <c r="W285" s="105">
        <f t="shared" ref="W285" si="808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104">
        <f>+'[1]EXP TOTAL VINO PAIS'!G181/1000</f>
        <v>2.2839999999999998</v>
      </c>
      <c r="C286" s="6">
        <f>+'[1]EXP TOTAL VINO PAIS'!G193/1000</f>
        <v>2.879</v>
      </c>
      <c r="D286" s="6">
        <f>+'[1]EXP TOTAL VINO PAIS'!G205/1000</f>
        <v>1.8520000000000001</v>
      </c>
      <c r="E286" s="6">
        <f>+'[1]EXP TOTAL VINO PAIS'!G217/1000</f>
        <v>2.157</v>
      </c>
      <c r="F286" s="6">
        <f>+'[1]EXP TOTAL VINO PAIS'!G229/1000</f>
        <v>4.0579999999999998</v>
      </c>
      <c r="G286" s="6">
        <f>+'[1]EXP TOTAL VINO PAIS'!G241/1000</f>
        <v>2.1869999999999998</v>
      </c>
      <c r="H286" s="6">
        <f>+'[1]EXP TOTAL VINO PAIS'!G253/1000</f>
        <v>1.4330000000000001</v>
      </c>
      <c r="I286" s="6">
        <f>+'[1]EXP TOTAL VINO PAIS'!G265/1000</f>
        <v>1.214</v>
      </c>
      <c r="J286" s="105">
        <f>+'[1]EXP TOTAL VINO PAIS'!G277/1000</f>
        <v>0.54</v>
      </c>
      <c r="K286" s="6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809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810">+SUM(I276:I286)+SUM(H287)</f>
        <v>14.414</v>
      </c>
      <c r="W286" s="105">
        <f t="shared" ref="W286" si="811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104">
        <f>+'[1]EXP TOTAL VINO PAIS'!G182/1000</f>
        <v>2.9820000000000002</v>
      </c>
      <c r="C287" s="6">
        <f>+'[1]EXP TOTAL VINO PAIS'!G194/1000</f>
        <v>2.7949999999999999</v>
      </c>
      <c r="D287" s="6">
        <f>+'[1]EXP TOTAL VINO PAIS'!G206/1000</f>
        <v>3.2919999999999998</v>
      </c>
      <c r="E287" s="6">
        <f>+'[1]EXP TOTAL VINO PAIS'!G218/1000</f>
        <v>2.4729999999999999</v>
      </c>
      <c r="F287" s="6">
        <f>+'[1]EXP TOTAL VINO PAIS'!G230/1000</f>
        <v>2.2949999999999999</v>
      </c>
      <c r="G287" s="6">
        <f>+'[1]EXP TOTAL VINO PAIS'!G242/1000</f>
        <v>2.2149999999999999</v>
      </c>
      <c r="H287" s="6">
        <f>+'[1]EXP TOTAL VINO PAIS'!G254/1000</f>
        <v>1.419</v>
      </c>
      <c r="I287" s="6">
        <f>+'[1]EXP TOTAL VINO PAIS'!G266/1000</f>
        <v>1.292</v>
      </c>
      <c r="J287" s="105">
        <f>+'[1]EXP TOTAL VINO PAIS'!G278/1000</f>
        <v>0.40300000000000002</v>
      </c>
      <c r="K287" s="6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812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813">+SUM(I276:I287)</f>
        <v>14.286999999999999</v>
      </c>
      <c r="W287" s="105">
        <f t="shared" ref="W287" si="814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106">
        <f>SUM(B276:B287)</f>
        <v>23.058</v>
      </c>
      <c r="C288" s="83">
        <f t="shared" ref="C288:F288" si="815">SUM(C276:C287)</f>
        <v>22.014000000000003</v>
      </c>
      <c r="D288" s="83">
        <f t="shared" si="815"/>
        <v>24.089999999999996</v>
      </c>
      <c r="E288" s="83">
        <f t="shared" si="815"/>
        <v>24.989000000000001</v>
      </c>
      <c r="F288" s="83">
        <f t="shared" si="815"/>
        <v>23.119999999999997</v>
      </c>
      <c r="G288" s="83">
        <f t="shared" ref="G288:I288" si="816">SUM(G276:G287)</f>
        <v>25.271000000000001</v>
      </c>
      <c r="H288" s="83">
        <f t="shared" si="816"/>
        <v>15.585000000000001</v>
      </c>
      <c r="I288" s="83">
        <f t="shared" si="816"/>
        <v>14.286999999999999</v>
      </c>
      <c r="J288" s="107">
        <f t="shared" ref="J288" si="817">SUM(J276:J287)</f>
        <v>8.7410000000000014</v>
      </c>
      <c r="K288" s="83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818">+AVERAGE(Q276:Q287)</f>
        <v>23.298249999999996</v>
      </c>
      <c r="R288" s="83">
        <f t="shared" si="818"/>
        <v>24.339166666666667</v>
      </c>
      <c r="S288" s="83">
        <f t="shared" si="818"/>
        <v>24.39533333333333</v>
      </c>
      <c r="T288" s="83">
        <f t="shared" si="818"/>
        <v>24.654666666666667</v>
      </c>
      <c r="U288" s="83">
        <f t="shared" si="818"/>
        <v>20.460666666666665</v>
      </c>
      <c r="V288" s="83">
        <f t="shared" si="818"/>
        <v>14.962083333333332</v>
      </c>
      <c r="W288" s="107">
        <f t="shared" si="818"/>
        <v>11.501333333333335</v>
      </c>
      <c r="X288" s="107">
        <f t="shared" ref="X288" si="819">+AVERAGE(X276:X287)</f>
        <v>8.6319999999999997</v>
      </c>
      <c r="Y288" s="119">
        <f>+X288/W288-1</f>
        <v>-0.24947832135404602</v>
      </c>
      <c r="Z288" s="173">
        <f>+POWER(X288/S288,0.2)-1</f>
        <v>-0.18761679747039106</v>
      </c>
    </row>
    <row r="289" spans="1:26" ht="25.5" x14ac:dyDescent="0.25">
      <c r="A289" s="95" t="s">
        <v>15</v>
      </c>
      <c r="B289" s="108">
        <f t="shared" ref="B289:G289" si="820">+B288/B$360</f>
        <v>2.822877822204484E-2</v>
      </c>
      <c r="C289" s="84">
        <f t="shared" si="820"/>
        <v>2.7315162930591646E-2</v>
      </c>
      <c r="D289" s="84">
        <f t="shared" si="820"/>
        <v>2.9226215029238344E-2</v>
      </c>
      <c r="E289" s="84">
        <f t="shared" si="820"/>
        <v>3.1389509279054983E-2</v>
      </c>
      <c r="F289" s="84">
        <f t="shared" si="820"/>
        <v>2.9634035048142486E-2</v>
      </c>
      <c r="G289" s="84">
        <f t="shared" si="820"/>
        <v>3.0579178424321042E-2</v>
      </c>
      <c r="H289" s="84">
        <f t="shared" ref="H289:I289" si="821">+H288/H$360</f>
        <v>1.9789471010996269E-2</v>
      </c>
      <c r="I289" s="84">
        <f t="shared" si="821"/>
        <v>2.1905957862425003E-2</v>
      </c>
      <c r="J289" s="109">
        <f t="shared" ref="J289" si="822">+J288/J$360</f>
        <v>1.2831484920326186E-2</v>
      </c>
      <c r="K289" s="84"/>
      <c r="L289" s="97"/>
      <c r="M289" s="3"/>
      <c r="N289" s="95" t="s">
        <v>15</v>
      </c>
      <c r="O289" s="108">
        <f t="shared" ref="O289:W289" si="823">+O288/O$360</f>
        <v>2.6426381654351135E-2</v>
      </c>
      <c r="P289" s="84">
        <f t="shared" si="823"/>
        <v>2.7708960965111638E-2</v>
      </c>
      <c r="Q289" s="84">
        <f t="shared" si="823"/>
        <v>2.8760067165355951E-2</v>
      </c>
      <c r="R289" s="84">
        <f t="shared" si="823"/>
        <v>2.9790470191068223E-2</v>
      </c>
      <c r="S289" s="84">
        <f t="shared" si="823"/>
        <v>3.1031470106674116E-2</v>
      </c>
      <c r="T289" s="84">
        <f t="shared" si="823"/>
        <v>3.0746776616337273E-2</v>
      </c>
      <c r="U289" s="84">
        <f t="shared" si="823"/>
        <v>2.4998930921220089E-2</v>
      </c>
      <c r="V289" s="84">
        <f t="shared" si="823"/>
        <v>2.1003458677541893E-2</v>
      </c>
      <c r="W289" s="109">
        <f t="shared" si="823"/>
        <v>1.7585029688498208E-2</v>
      </c>
      <c r="X289" s="109">
        <f t="shared" ref="X289" si="824">+X288/X$360</f>
        <v>1.2731538384388626E-2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825">+D288/C288-1</f>
        <v>9.4303624965930366E-2</v>
      </c>
      <c r="E290" s="85">
        <f t="shared" si="825"/>
        <v>3.7318389373184102E-2</v>
      </c>
      <c r="F290" s="85">
        <f t="shared" si="825"/>
        <v>-7.4792908879907305E-2</v>
      </c>
      <c r="G290" s="85">
        <f t="shared" si="825"/>
        <v>9.3036332179931014E-2</v>
      </c>
      <c r="H290" s="85">
        <f t="shared" si="825"/>
        <v>-0.38328518855605243</v>
      </c>
      <c r="I290" s="85">
        <f t="shared" si="825"/>
        <v>-8.3285210137953314E-2</v>
      </c>
      <c r="J290" s="111">
        <f t="shared" si="825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826">+Q288/P288-1</f>
        <v>3.7333452064248096E-2</v>
      </c>
      <c r="R290" s="85">
        <f t="shared" ref="R290" si="827">+R288/Q288-1</f>
        <v>4.4677890685638211E-2</v>
      </c>
      <c r="S290" s="85">
        <f t="shared" ref="S290" si="828">+S288/R288-1</f>
        <v>2.3076659704863722E-3</v>
      </c>
      <c r="T290" s="85">
        <f t="shared" ref="T290" si="829">+T288/S288-1</f>
        <v>1.0630448446424356E-2</v>
      </c>
      <c r="U290" s="85">
        <f t="shared" ref="U290" si="830">+U288/T288-1</f>
        <v>-0.17010978313774283</v>
      </c>
      <c r="V290" s="85">
        <f t="shared" ref="V290" si="831">+V288/U288-1</f>
        <v>-0.26873920693362874</v>
      </c>
      <c r="W290" s="111">
        <f t="shared" ref="W290:X290" si="832">+W288/V288-1</f>
        <v>-0.2313013450666962</v>
      </c>
      <c r="X290" s="111">
        <f t="shared" si="832"/>
        <v>-0.24947832135404602</v>
      </c>
      <c r="Y290" s="99"/>
      <c r="Z290" s="115"/>
    </row>
    <row r="291" spans="1:26" ht="15.75" thickBot="1" x14ac:dyDescent="0.3"/>
    <row r="292" spans="1:26" ht="15.75" thickBot="1" x14ac:dyDescent="0.3">
      <c r="A292" s="335" t="s">
        <v>131</v>
      </c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7"/>
      <c r="M292" s="2"/>
      <c r="N292" s="335" t="s">
        <v>132</v>
      </c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7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833">+C293+1</f>
        <v>2018</v>
      </c>
      <c r="E293" s="82">
        <f t="shared" si="833"/>
        <v>2019</v>
      </c>
      <c r="F293" s="82">
        <f t="shared" si="833"/>
        <v>2020</v>
      </c>
      <c r="G293" s="82">
        <f t="shared" si="833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834">+P293+1</f>
        <v>2018</v>
      </c>
      <c r="R293" s="82">
        <f t="shared" ref="R293" si="835">+Q293+1</f>
        <v>2019</v>
      </c>
      <c r="S293" s="82">
        <f t="shared" ref="S293" si="836">+R293+1</f>
        <v>2020</v>
      </c>
      <c r="T293" s="82">
        <f t="shared" ref="T293" si="837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104">
        <f>+'[1]EXP TOTAL VINO PAIS'!H171/1000</f>
        <v>1.4259999999999999</v>
      </c>
      <c r="C294" s="6">
        <f>+'[1]EXP TOTAL VINO PAIS'!H183/1000</f>
        <v>0.91600000000000004</v>
      </c>
      <c r="D294" s="6">
        <f>+'[1]EXP TOTAL VINO PAIS'!H195/1000</f>
        <v>0.74</v>
      </c>
      <c r="E294" s="6">
        <f>+'[1]EXP TOTAL VINO PAIS'!H207/1000</f>
        <v>0.47499999999999998</v>
      </c>
      <c r="F294" s="6">
        <f>+'[1]EXP TOTAL VINO PAIS'!H219/1000</f>
        <v>0.94699999999999995</v>
      </c>
      <c r="G294" s="6">
        <f>+'[1]EXP TOTAL VINO PAIS'!H231/1000</f>
        <v>1.282</v>
      </c>
      <c r="H294" s="6">
        <f>+'[1]EXP TOTAL VINO PAIS'!H243/1000</f>
        <v>0.99199999999999999</v>
      </c>
      <c r="I294" s="6">
        <f>+'[1]EXP TOTAL VINO PAIS'!H255/1000</f>
        <v>1.6719999999999999</v>
      </c>
      <c r="J294" s="105">
        <f>+'[1]EXP TOTAL VINO PAIS'!H267/1000</f>
        <v>0.95</v>
      </c>
      <c r="K294" s="6">
        <f>+'[1]EXP TOTAL VINO PAIS'!H279/1000</f>
        <v>0.85099999999999998</v>
      </c>
      <c r="L294" s="91">
        <f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838">+SUM(D294)+SUM(C295:C305)</f>
        <v>19.911999999999999</v>
      </c>
      <c r="R294" s="6">
        <f t="shared" ref="R294:X294" si="839">+SUM(E294)+SUM(D295:D305)</f>
        <v>20.489000000000001</v>
      </c>
      <c r="S294" s="6">
        <f t="shared" si="839"/>
        <v>21.276999999999997</v>
      </c>
      <c r="T294" s="6">
        <f t="shared" si="839"/>
        <v>18.841000000000001</v>
      </c>
      <c r="U294" s="6">
        <f t="shared" si="839"/>
        <v>23.666</v>
      </c>
      <c r="V294" s="6">
        <f t="shared" si="839"/>
        <v>30.631999999999998</v>
      </c>
      <c r="W294" s="105">
        <f t="shared" si="839"/>
        <v>25.460999999999999</v>
      </c>
      <c r="X294" s="105">
        <f t="shared" si="839"/>
        <v>22.640999999999998</v>
      </c>
      <c r="Y294" s="117">
        <f>+X294/W294-1</f>
        <v>-0.11075762931542366</v>
      </c>
      <c r="Z294" s="113">
        <f>+POWER(X294/S294,0.2)-1</f>
        <v>1.2504686850358659E-2</v>
      </c>
    </row>
    <row r="295" spans="1:26" x14ac:dyDescent="0.25">
      <c r="A295" s="89" t="s">
        <v>11</v>
      </c>
      <c r="B295" s="104">
        <f>+'[1]EXP TOTAL VINO PAIS'!H172/1000</f>
        <v>2.11</v>
      </c>
      <c r="C295" s="6">
        <f>+'[1]EXP TOTAL VINO PAIS'!H184/1000</f>
        <v>0.55400000000000005</v>
      </c>
      <c r="D295" s="6">
        <f>+'[1]EXP TOTAL VINO PAIS'!H196/1000</f>
        <v>0.82699999999999996</v>
      </c>
      <c r="E295" s="6">
        <f>+'[1]EXP TOTAL VINO PAIS'!H208/1000</f>
        <v>0.95</v>
      </c>
      <c r="F295" s="6">
        <f>+'[1]EXP TOTAL VINO PAIS'!H220/1000</f>
        <v>1.65</v>
      </c>
      <c r="G295" s="6">
        <f>+'[1]EXP TOTAL VINO PAIS'!H232/1000</f>
        <v>2.2949999999999999</v>
      </c>
      <c r="H295" s="6">
        <f>+'[1]EXP TOTAL VINO PAIS'!H244/1000</f>
        <v>2.0179999999999998</v>
      </c>
      <c r="I295" s="6">
        <f>+'[1]EXP TOTAL VINO PAIS'!H256/1000</f>
        <v>2.2429999999999999</v>
      </c>
      <c r="J295" s="105">
        <f>+'[1]EXP TOTAL VINO PAIS'!H268/1000</f>
        <v>0.92600000000000005</v>
      </c>
      <c r="K295" s="6">
        <f>+'[1]EXP TOTAL VINO PAIS'!H280/1000</f>
        <v>1.4039999999999999</v>
      </c>
      <c r="L295" s="91">
        <f>+K295/J295-1</f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840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841">+SUM(J294:J295)+SUM(I296:I305)</f>
        <v>24.143999999999998</v>
      </c>
      <c r="X295" s="105">
        <f t="shared" ref="X295" si="842">+SUM(K294:K295)+SUM(J296:J305)</f>
        <v>23.118999999999996</v>
      </c>
      <c r="Y295" s="117">
        <f>+X295/W295-1</f>
        <v>-4.2453611663353263E-2</v>
      </c>
      <c r="Z295" s="113">
        <f>+POWER(X295/S295,0.2)-1</f>
        <v>1.0183166787803399E-2</v>
      </c>
    </row>
    <row r="296" spans="1:26" x14ac:dyDescent="0.25">
      <c r="A296" s="89" t="s">
        <v>0</v>
      </c>
      <c r="B296" s="104">
        <f>+'[1]EXP TOTAL VINO PAIS'!H173/1000</f>
        <v>1.502</v>
      </c>
      <c r="C296" s="6">
        <f>+'[1]EXP TOTAL VINO PAIS'!H185/1000</f>
        <v>0.84799999999999998</v>
      </c>
      <c r="D296" s="6">
        <f>+'[1]EXP TOTAL VINO PAIS'!H197/1000</f>
        <v>1.163</v>
      </c>
      <c r="E296" s="6">
        <f>+'[1]EXP TOTAL VINO PAIS'!H209/1000</f>
        <v>1.22</v>
      </c>
      <c r="F296" s="6">
        <f>+'[1]EXP TOTAL VINO PAIS'!H221/1000</f>
        <v>0.90700000000000003</v>
      </c>
      <c r="G296" s="6">
        <f>+'[1]EXP TOTAL VINO PAIS'!H233/1000</f>
        <v>2.1480000000000001</v>
      </c>
      <c r="H296" s="6">
        <f>+'[1]EXP TOTAL VINO PAIS'!H245/1000</f>
        <v>2.5539999999999998</v>
      </c>
      <c r="I296" s="6">
        <f>+'[1]EXP TOTAL VINO PAIS'!H257/1000</f>
        <v>1.9690000000000001</v>
      </c>
      <c r="J296" s="105">
        <f>+'[1]EXP TOTAL VINO PAIS'!H269/1000</f>
        <v>1.5960000000000001</v>
      </c>
      <c r="K296" s="6">
        <f>+'[1]EXP TOTAL VINO PAIS'!H281/1000</f>
        <v>1.518</v>
      </c>
      <c r="L296" s="91">
        <f>+K296/J296-1</f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843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844">+SUM(I294:I296)+SUM(H297:H305)</f>
        <v>30.272000000000002</v>
      </c>
      <c r="W296" s="105">
        <f t="shared" ref="W296" si="845">+SUM(J294:J296)+SUM(I297:I305)</f>
        <v>23.771000000000001</v>
      </c>
      <c r="X296" s="105">
        <f t="shared" ref="X296" si="846">+SUM(K294:K296)+SUM(J297:J305)</f>
        <v>23.041</v>
      </c>
      <c r="Y296" s="117">
        <f>+X296/W296-1</f>
        <v>-3.0709688275630032E-2</v>
      </c>
      <c r="Z296" s="113">
        <f>+POWER(X296/S296,0.2)-1</f>
        <v>1.240092988771524E-2</v>
      </c>
    </row>
    <row r="297" spans="1:26" x14ac:dyDescent="0.25">
      <c r="A297" s="89" t="s">
        <v>1</v>
      </c>
      <c r="B297" s="104">
        <f>+'[1]EXP TOTAL VINO PAIS'!H174/1000</f>
        <v>1.167</v>
      </c>
      <c r="C297" s="6">
        <f>+'[1]EXP TOTAL VINO PAIS'!H186/1000</f>
        <v>0.74199999999999999</v>
      </c>
      <c r="D297" s="6">
        <f>+'[1]EXP TOTAL VINO PAIS'!H198/1000</f>
        <v>1.1599999999999999</v>
      </c>
      <c r="E297" s="6">
        <f>+'[1]EXP TOTAL VINO PAIS'!H210/1000</f>
        <v>1.7270000000000001</v>
      </c>
      <c r="F297" s="6">
        <f>+'[1]EXP TOTAL VINO PAIS'!H222/1000</f>
        <v>0.48799999999999999</v>
      </c>
      <c r="G297" s="6">
        <f>+'[1]EXP TOTAL VINO PAIS'!H234/1000</f>
        <v>1.7330000000000001</v>
      </c>
      <c r="H297" s="6">
        <f>+'[1]EXP TOTAL VINO PAIS'!H246/1000</f>
        <v>2.8010000000000002</v>
      </c>
      <c r="I297" s="6">
        <f>+'[1]EXP TOTAL VINO PAIS'!H258/1000</f>
        <v>2.3959999999999999</v>
      </c>
      <c r="J297" s="105">
        <f>+'[1]EXP TOTAL VINO PAIS'!H270/1000</f>
        <v>2.1890000000000001</v>
      </c>
      <c r="K297" s="6"/>
      <c r="L297" s="91"/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847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848">+SUM(I294:I297)+SUM(H298:H305)</f>
        <v>29.867000000000001</v>
      </c>
      <c r="W297" s="67">
        <f t="shared" ref="W297" si="849">+SUM(J294:J297)+SUM(I298:I305)</f>
        <v>23.564</v>
      </c>
      <c r="X297" s="37"/>
      <c r="Y297" s="78"/>
      <c r="Z297" s="7"/>
    </row>
    <row r="298" spans="1:26" x14ac:dyDescent="0.25">
      <c r="A298" s="89" t="s">
        <v>2</v>
      </c>
      <c r="B298" s="104">
        <f>+'[1]EXP TOTAL VINO PAIS'!H175/1000</f>
        <v>2.9340000000000002</v>
      </c>
      <c r="C298" s="6">
        <f>+'[1]EXP TOTAL VINO PAIS'!H187/1000</f>
        <v>2.0339999999999998</v>
      </c>
      <c r="D298" s="6">
        <f>+'[1]EXP TOTAL VINO PAIS'!H199/1000</f>
        <v>0.89700000000000002</v>
      </c>
      <c r="E298" s="6">
        <f>+'[1]EXP TOTAL VINO PAIS'!H211/1000</f>
        <v>1.9319999999999999</v>
      </c>
      <c r="F298" s="6">
        <f>+'[1]EXP TOTAL VINO PAIS'!H223/1000</f>
        <v>1.264</v>
      </c>
      <c r="G298" s="6">
        <f>+'[1]EXP TOTAL VINO PAIS'!H235/1000</f>
        <v>2.5449999999999999</v>
      </c>
      <c r="H298" s="6">
        <f>+'[1]EXP TOTAL VINO PAIS'!H247/1000</f>
        <v>2.984</v>
      </c>
      <c r="I298" s="6">
        <f>+'[1]EXP TOTAL VINO PAIS'!H259/1000</f>
        <v>2.7679999999999998</v>
      </c>
      <c r="J298" s="105">
        <f>+'[1]EXP TOTAL VINO PAIS'!H271/1000</f>
        <v>2.3530000000000002</v>
      </c>
      <c r="K298" s="6"/>
      <c r="L298" s="91"/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850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851">+SUM(I294:I298)+SUM(H299:H305)</f>
        <v>29.651000000000003</v>
      </c>
      <c r="W298" s="105">
        <f t="shared" ref="W298" si="852">+SUM(J294:J298)+SUM(I299:I305)</f>
        <v>23.148999999999997</v>
      </c>
      <c r="X298" s="105"/>
      <c r="Y298" s="117"/>
      <c r="Z298" s="113"/>
    </row>
    <row r="299" spans="1:26" x14ac:dyDescent="0.25">
      <c r="A299" s="89" t="s">
        <v>3</v>
      </c>
      <c r="B299" s="104">
        <f>+'[1]EXP TOTAL VINO PAIS'!H176/1000</f>
        <v>0.88900000000000001</v>
      </c>
      <c r="C299" s="6">
        <f>+'[1]EXP TOTAL VINO PAIS'!H188/1000</f>
        <v>1.018</v>
      </c>
      <c r="D299" s="6">
        <f>+'[1]EXP TOTAL VINO PAIS'!H200/1000</f>
        <v>1.2410000000000001</v>
      </c>
      <c r="E299" s="6">
        <f>+'[1]EXP TOTAL VINO PAIS'!H212/1000</f>
        <v>1.7150000000000001</v>
      </c>
      <c r="F299" s="6">
        <f>+'[1]EXP TOTAL VINO PAIS'!H224/1000</f>
        <v>0.748</v>
      </c>
      <c r="G299" s="6">
        <f>+'[1]EXP TOTAL VINO PAIS'!H236/1000</f>
        <v>1.8979999999999999</v>
      </c>
      <c r="H299" s="6">
        <f>+'[1]EXP TOTAL VINO PAIS'!H248/1000</f>
        <v>2.5609999999999999</v>
      </c>
      <c r="I299" s="6">
        <f>+'[1]EXP TOTAL VINO PAIS'!H260/1000</f>
        <v>2.59</v>
      </c>
      <c r="J299" s="105">
        <f>+'[1]EXP TOTAL VINO PAIS'!H272/1000</f>
        <v>1.74</v>
      </c>
      <c r="K299" s="6"/>
      <c r="L299" s="91"/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853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854">+SUM(I294:I299)+SUM(H300:H305)</f>
        <v>29.680000000000003</v>
      </c>
      <c r="W299" s="105">
        <f t="shared" ref="W299" si="855">+SUM(J294:J299)+SUM(I300:I305)</f>
        <v>22.298999999999999</v>
      </c>
      <c r="X299" s="105"/>
      <c r="Y299" s="117"/>
      <c r="Z299" s="113"/>
    </row>
    <row r="300" spans="1:26" x14ac:dyDescent="0.25">
      <c r="A300" s="89" t="s">
        <v>4</v>
      </c>
      <c r="B300" s="104">
        <f>+'[1]EXP TOTAL VINO PAIS'!H177/1000</f>
        <v>2.4889999999999999</v>
      </c>
      <c r="C300" s="6">
        <f>+'[1]EXP TOTAL VINO PAIS'!H189/1000</f>
        <v>4.1269999999999998</v>
      </c>
      <c r="D300" s="6">
        <f>+'[1]EXP TOTAL VINO PAIS'!H201/1000</f>
        <v>2.2040000000000002</v>
      </c>
      <c r="E300" s="6">
        <f>+'[1]EXP TOTAL VINO PAIS'!H213/1000</f>
        <v>3.0670000000000002</v>
      </c>
      <c r="F300" s="6">
        <f>+'[1]EXP TOTAL VINO PAIS'!H225/1000</f>
        <v>2.875</v>
      </c>
      <c r="G300" s="6">
        <f>+'[1]EXP TOTAL VINO PAIS'!H237/1000</f>
        <v>2.1930000000000001</v>
      </c>
      <c r="H300" s="6">
        <f>+'[1]EXP TOTAL VINO PAIS'!H249/1000</f>
        <v>2.778</v>
      </c>
      <c r="I300" s="6">
        <f>+'[1]EXP TOTAL VINO PAIS'!H261/1000</f>
        <v>4.0069999999999997</v>
      </c>
      <c r="J300" s="105">
        <f>+'[1]EXP TOTAL VINO PAIS'!H273/1000</f>
        <v>3.6219999999999999</v>
      </c>
      <c r="K300" s="6"/>
      <c r="L300" s="91"/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85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857">+SUM(I294:I300)+SUM(H301:H305)</f>
        <v>30.909000000000002</v>
      </c>
      <c r="W300" s="105">
        <f t="shared" ref="W300" si="858">+SUM(J294:J300)+SUM(I301:I305)</f>
        <v>21.914000000000001</v>
      </c>
      <c r="X300" s="105"/>
      <c r="Y300" s="117"/>
      <c r="Z300" s="113"/>
    </row>
    <row r="301" spans="1:26" x14ac:dyDescent="0.25">
      <c r="A301" s="89" t="s">
        <v>5</v>
      </c>
      <c r="B301" s="104">
        <f>+'[1]EXP TOTAL VINO PAIS'!H178/1000</f>
        <v>5.0540000000000003</v>
      </c>
      <c r="C301" s="6">
        <f>+'[1]EXP TOTAL VINO PAIS'!H190/1000</f>
        <v>3.9550000000000001</v>
      </c>
      <c r="D301" s="6">
        <f>+'[1]EXP TOTAL VINO PAIS'!H202/1000</f>
        <v>2.2810000000000001</v>
      </c>
      <c r="E301" s="6">
        <f>+'[1]EXP TOTAL VINO PAIS'!H214/1000</f>
        <v>4.1790000000000003</v>
      </c>
      <c r="F301" s="6">
        <f>+'[1]EXP TOTAL VINO PAIS'!H226/1000</f>
        <v>3.089</v>
      </c>
      <c r="G301" s="6">
        <f>+'[1]EXP TOTAL VINO PAIS'!H238/1000</f>
        <v>1.4239999999999999</v>
      </c>
      <c r="H301" s="6">
        <f>+'[1]EXP TOTAL VINO PAIS'!H250/1000</f>
        <v>4.7629999999999999</v>
      </c>
      <c r="I301" s="6">
        <f>+'[1]EXP TOTAL VINO PAIS'!H262/1000</f>
        <v>1.86</v>
      </c>
      <c r="J301" s="105">
        <f>+'[1]EXP TOTAL VINO PAIS'!H274/1000</f>
        <v>2.8239999999999998</v>
      </c>
      <c r="K301" s="6"/>
      <c r="L301" s="91"/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859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860">+SUM(I294:I301)+SUM(H302:H305)</f>
        <v>28.006</v>
      </c>
      <c r="W301" s="105">
        <f t="shared" ref="W301" si="861">+SUM(J294:J301)+SUM(I302:I305)</f>
        <v>22.878</v>
      </c>
      <c r="X301" s="105"/>
      <c r="Y301" s="117"/>
      <c r="Z301" s="113"/>
    </row>
    <row r="302" spans="1:26" x14ac:dyDescent="0.25">
      <c r="A302" s="89" t="s">
        <v>6</v>
      </c>
      <c r="B302" s="104">
        <f>+'[1]EXP TOTAL VINO PAIS'!H179/1000</f>
        <v>5.1520000000000001</v>
      </c>
      <c r="C302" s="6">
        <f>+'[1]EXP TOTAL VINO PAIS'!H191/1000</f>
        <v>1.046</v>
      </c>
      <c r="D302" s="6">
        <f>+'[1]EXP TOTAL VINO PAIS'!H203/1000</f>
        <v>6.0839999999999996</v>
      </c>
      <c r="E302" s="6">
        <f>+'[1]EXP TOTAL VINO PAIS'!H215/1000</f>
        <v>1.1739999999999999</v>
      </c>
      <c r="F302" s="6">
        <f>+'[1]EXP TOTAL VINO PAIS'!H227/1000</f>
        <v>1.454</v>
      </c>
      <c r="G302" s="6">
        <f>+'[1]EXP TOTAL VINO PAIS'!H239/1000</f>
        <v>1.8560000000000001</v>
      </c>
      <c r="H302" s="6">
        <f>+'[1]EXP TOTAL VINO PAIS'!H251/1000</f>
        <v>3.2669999999999999</v>
      </c>
      <c r="I302" s="6">
        <f>+'[1]EXP TOTAL VINO PAIS'!H263/1000</f>
        <v>1.8140000000000001</v>
      </c>
      <c r="J302" s="105">
        <f>+'[1]EXP TOTAL VINO PAIS'!H275/1000</f>
        <v>2.2879999999999998</v>
      </c>
      <c r="K302" s="6"/>
      <c r="L302" s="91"/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862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863">+SUM(I294:I302)+SUM(H303:H305)</f>
        <v>26.553000000000004</v>
      </c>
      <c r="W302" s="105">
        <f t="shared" ref="W302" si="864">+SUM(J294:J302)+SUM(I303:I305)</f>
        <v>23.352</v>
      </c>
      <c r="X302" s="105"/>
      <c r="Y302" s="117"/>
      <c r="Z302" s="113"/>
    </row>
    <row r="303" spans="1:26" x14ac:dyDescent="0.25">
      <c r="A303" s="89" t="s">
        <v>7</v>
      </c>
      <c r="B303" s="104">
        <f>+'[1]EXP TOTAL VINO PAIS'!H180/1000</f>
        <v>1.905</v>
      </c>
      <c r="C303" s="6">
        <f>+'[1]EXP TOTAL VINO PAIS'!H192/1000</f>
        <v>1.2649999999999999</v>
      </c>
      <c r="D303" s="6">
        <f>+'[1]EXP TOTAL VINO PAIS'!H204/1000</f>
        <v>2.2370000000000001</v>
      </c>
      <c r="E303" s="6">
        <f>+'[1]EXP TOTAL VINO PAIS'!H216/1000</f>
        <v>1.1180000000000001</v>
      </c>
      <c r="F303" s="6">
        <f>+'[1]EXP TOTAL VINO PAIS'!H228/1000</f>
        <v>1.94</v>
      </c>
      <c r="G303" s="6">
        <f>+'[1]EXP TOTAL VINO PAIS'!H240/1000</f>
        <v>2.6640000000000001</v>
      </c>
      <c r="H303" s="6">
        <f>+'[1]EXP TOTAL VINO PAIS'!H252/1000</f>
        <v>2.0859999999999999</v>
      </c>
      <c r="I303" s="6">
        <f>+'[1]EXP TOTAL VINO PAIS'!H264/1000</f>
        <v>2.274</v>
      </c>
      <c r="J303" s="105">
        <f>+'[1]EXP TOTAL VINO PAIS'!H276/1000</f>
        <v>0.79900000000000004</v>
      </c>
      <c r="K303" s="6"/>
      <c r="L303" s="91"/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865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866">+SUM(I294:I303)+SUM(H304:H305)</f>
        <v>26.741000000000003</v>
      </c>
      <c r="W303" s="105">
        <f t="shared" ref="W303" si="867">+SUM(J294:J303)+SUM(I304:I305)</f>
        <v>21.876999999999999</v>
      </c>
      <c r="X303" s="105"/>
      <c r="Y303" s="117"/>
      <c r="Z303" s="113"/>
    </row>
    <row r="304" spans="1:26" x14ac:dyDescent="0.25">
      <c r="A304" s="89" t="s">
        <v>8</v>
      </c>
      <c r="B304" s="104">
        <f>+'[1]EXP TOTAL VINO PAIS'!H181/1000</f>
        <v>1.429</v>
      </c>
      <c r="C304" s="6">
        <f>+'[1]EXP TOTAL VINO PAIS'!H193/1000</f>
        <v>2.0249999999999999</v>
      </c>
      <c r="D304" s="6">
        <f>+'[1]EXP TOTAL VINO PAIS'!H205/1000</f>
        <v>0.97899999999999998</v>
      </c>
      <c r="E304" s="6">
        <f>+'[1]EXP TOTAL VINO PAIS'!H217/1000</f>
        <v>1.9059999999999999</v>
      </c>
      <c r="F304" s="6">
        <f>+'[1]EXP TOTAL VINO PAIS'!H229/1000</f>
        <v>1.5029999999999999</v>
      </c>
      <c r="G304" s="6">
        <f>+'[1]EXP TOTAL VINO PAIS'!H241/1000</f>
        <v>2.1429999999999998</v>
      </c>
      <c r="H304" s="6">
        <f>+'[1]EXP TOTAL VINO PAIS'!H253/1000</f>
        <v>1.33</v>
      </c>
      <c r="I304" s="6">
        <f>+'[1]EXP TOTAL VINO PAIS'!H265/1000</f>
        <v>0.53600000000000003</v>
      </c>
      <c r="J304" s="105">
        <f>+'[1]EXP TOTAL VINO PAIS'!H277/1000</f>
        <v>1.613</v>
      </c>
      <c r="K304" s="6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868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869">+SUM(I294:I304)+SUM(H305)</f>
        <v>25.947000000000006</v>
      </c>
      <c r="W304" s="105">
        <f t="shared" ref="W304" si="870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104">
        <f>+'[1]EXP TOTAL VINO PAIS'!H182/1000</f>
        <v>0.74099999999999999</v>
      </c>
      <c r="C305" s="6">
        <f>+'[1]EXP TOTAL VINO PAIS'!H194/1000</f>
        <v>1.5580000000000001</v>
      </c>
      <c r="D305" s="6">
        <f>+'[1]EXP TOTAL VINO PAIS'!H206/1000</f>
        <v>0.94099999999999995</v>
      </c>
      <c r="E305" s="6">
        <f>+'[1]EXP TOTAL VINO PAIS'!H218/1000</f>
        <v>1.3420000000000001</v>
      </c>
      <c r="F305" s="6">
        <f>+'[1]EXP TOTAL VINO PAIS'!H230/1000</f>
        <v>1.641</v>
      </c>
      <c r="G305" s="6">
        <f>+'[1]EXP TOTAL VINO PAIS'!H242/1000</f>
        <v>1.7749999999999999</v>
      </c>
      <c r="H305" s="6">
        <f>+'[1]EXP TOTAL VINO PAIS'!H254/1000</f>
        <v>1.8180000000000001</v>
      </c>
      <c r="I305" s="6">
        <f>+'[1]EXP TOTAL VINO PAIS'!H266/1000</f>
        <v>2.0539999999999998</v>
      </c>
      <c r="J305" s="105">
        <f>+'[1]EXP TOTAL VINO PAIS'!H278/1000</f>
        <v>1.84</v>
      </c>
      <c r="K305" s="6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871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872">+SUM(I294:I305)</f>
        <v>26.183000000000003</v>
      </c>
      <c r="W305" s="105">
        <f t="shared" ref="W305" si="873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106">
        <f>SUM(B294:B305)</f>
        <v>26.797999999999998</v>
      </c>
      <c r="C306" s="83">
        <f t="shared" ref="C306:F306" si="874">SUM(C294:C305)</f>
        <v>20.087999999999997</v>
      </c>
      <c r="D306" s="83">
        <f t="shared" si="874"/>
        <v>20.754000000000001</v>
      </c>
      <c r="E306" s="83">
        <f t="shared" si="874"/>
        <v>20.804999999999996</v>
      </c>
      <c r="F306" s="83">
        <f t="shared" si="874"/>
        <v>18.506</v>
      </c>
      <c r="G306" s="83">
        <f t="shared" ref="G306" si="875">SUM(G294:G305)</f>
        <v>23.956</v>
      </c>
      <c r="H306" s="83">
        <f t="shared" ref="H306:I306" si="876">SUM(H294:H305)</f>
        <v>29.952000000000002</v>
      </c>
      <c r="I306" s="83">
        <f t="shared" si="876"/>
        <v>26.183000000000003</v>
      </c>
      <c r="J306" s="107">
        <f t="shared" ref="J306" si="877">SUM(J294:J305)</f>
        <v>22.74</v>
      </c>
      <c r="K306" s="83"/>
      <c r="L306" s="94"/>
      <c r="M306" s="3"/>
      <c r="N306" s="92" t="s">
        <v>14</v>
      </c>
      <c r="O306" s="106">
        <f t="shared" ref="O306" si="878">+AVERAGE(O294:O305)</f>
        <v>23.516499999999997</v>
      </c>
      <c r="P306" s="83">
        <f>+AVERAGE(P294:P305)</f>
        <v>22.472999999999999</v>
      </c>
      <c r="Q306" s="83">
        <f t="shared" ref="Q306:W306" si="879">+AVERAGE(Q294:Q305)</f>
        <v>20.147916666666667</v>
      </c>
      <c r="R306" s="83">
        <f t="shared" si="879"/>
        <v>21.534833333333335</v>
      </c>
      <c r="S306" s="83">
        <f t="shared" si="879"/>
        <v>19.425583333333336</v>
      </c>
      <c r="T306" s="83">
        <f t="shared" si="879"/>
        <v>22.323083333333333</v>
      </c>
      <c r="U306" s="83">
        <f t="shared" si="879"/>
        <v>27.108499999999996</v>
      </c>
      <c r="V306" s="83">
        <f t="shared" si="879"/>
        <v>28.774833333333333</v>
      </c>
      <c r="W306" s="107">
        <f t="shared" si="879"/>
        <v>23.175250000000002</v>
      </c>
      <c r="X306" s="107">
        <f t="shared" ref="X306" si="880">+AVERAGE(X294:X305)</f>
        <v>22.933666666666664</v>
      </c>
      <c r="Y306" s="119">
        <f>+X306/W306-1</f>
        <v>-1.0424195352081944E-2</v>
      </c>
      <c r="Z306" s="173">
        <f>+POWER(X306/S306,0.2)-1</f>
        <v>3.3760384781636787E-2</v>
      </c>
    </row>
    <row r="307" spans="1:26" ht="25.5" x14ac:dyDescent="0.25">
      <c r="A307" s="95" t="s">
        <v>15</v>
      </c>
      <c r="B307" s="108">
        <f t="shared" ref="B307:G307" si="881">+B306/B$360</f>
        <v>3.2807476745353351E-2</v>
      </c>
      <c r="C307" s="84">
        <f t="shared" si="881"/>
        <v>2.4925365356124503E-2</v>
      </c>
      <c r="D307" s="84">
        <f t="shared" si="881"/>
        <v>2.5178948390071097E-2</v>
      </c>
      <c r="E307" s="84">
        <f t="shared" si="881"/>
        <v>2.6133848515376319E-2</v>
      </c>
      <c r="F307" s="84">
        <f t="shared" si="881"/>
        <v>2.3720045527721667E-2</v>
      </c>
      <c r="G307" s="84">
        <f t="shared" si="881"/>
        <v>2.8987962420681208E-2</v>
      </c>
      <c r="H307" s="84">
        <f t="shared" ref="H307:I307" si="882">+H306/H$360</f>
        <v>3.8032353912182244E-2</v>
      </c>
      <c r="I307" s="84">
        <f t="shared" si="882"/>
        <v>4.0145845503735837E-2</v>
      </c>
      <c r="J307" s="109">
        <f t="shared" ref="J307" si="883">+J306/J$360</f>
        <v>3.3381531528225303E-2</v>
      </c>
      <c r="K307" s="84"/>
      <c r="L307" s="97"/>
      <c r="M307" s="3"/>
      <c r="N307" s="95" t="s">
        <v>15</v>
      </c>
      <c r="O307" s="108">
        <f t="shared" ref="O307:W307" si="884">+O306/O$360</f>
        <v>2.9217489617985343E-2</v>
      </c>
      <c r="P307" s="84">
        <f t="shared" si="884"/>
        <v>2.7725307706851315E-2</v>
      </c>
      <c r="Q307" s="84">
        <f t="shared" si="884"/>
        <v>2.4871200050447052E-2</v>
      </c>
      <c r="R307" s="84">
        <f t="shared" si="884"/>
        <v>2.6358043365752967E-2</v>
      </c>
      <c r="S307" s="84">
        <f t="shared" si="884"/>
        <v>2.4709824632294718E-2</v>
      </c>
      <c r="T307" s="84">
        <f t="shared" si="884"/>
        <v>2.7839064543746211E-2</v>
      </c>
      <c r="U307" s="84">
        <f t="shared" si="884"/>
        <v>3.3121282405814155E-2</v>
      </c>
      <c r="V307" s="84">
        <f t="shared" si="884"/>
        <v>4.0393507334862355E-2</v>
      </c>
      <c r="W307" s="109">
        <f t="shared" si="884"/>
        <v>3.5433931656187807E-2</v>
      </c>
      <c r="X307" s="109">
        <f t="shared" ref="X307" si="885">+X306/X$360</f>
        <v>3.3825400540018605E-2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886">+D306/C306-1</f>
        <v>3.3154121863799402E-2</v>
      </c>
      <c r="E308" s="85">
        <f t="shared" si="886"/>
        <v>2.4573576178084089E-3</v>
      </c>
      <c r="F308" s="85">
        <f t="shared" si="886"/>
        <v>-0.11050228310502264</v>
      </c>
      <c r="G308" s="85">
        <f t="shared" si="886"/>
        <v>0.29449908137901226</v>
      </c>
      <c r="H308" s="85">
        <f t="shared" si="886"/>
        <v>0.25029220237101368</v>
      </c>
      <c r="I308" s="85">
        <f t="shared" si="886"/>
        <v>-0.12583466880341876</v>
      </c>
      <c r="J308" s="111">
        <f t="shared" si="886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887">+Q306/P306-1</f>
        <v>-0.10346119046559565</v>
      </c>
      <c r="R308" s="85">
        <f t="shared" ref="R308" si="888">+R306/Q306-1</f>
        <v>6.8836728363147692E-2</v>
      </c>
      <c r="S308" s="85">
        <f t="shared" ref="S308" si="889">+S306/R306-1</f>
        <v>-9.7945963516473222E-2</v>
      </c>
      <c r="T308" s="85">
        <f t="shared" ref="T308" si="890">+T306/S306-1</f>
        <v>0.14915896991510325</v>
      </c>
      <c r="U308" s="85">
        <f t="shared" ref="U308" si="891">+U306/T306-1</f>
        <v>0.21437077464657261</v>
      </c>
      <c r="V308" s="85">
        <f t="shared" ref="V308" si="892">+V306/U306-1</f>
        <v>6.1469034927544408E-2</v>
      </c>
      <c r="W308" s="111">
        <f t="shared" ref="W308:X308" si="893">+W306/V306-1</f>
        <v>-0.19460002664365261</v>
      </c>
      <c r="X308" s="111">
        <f t="shared" si="893"/>
        <v>-1.0424195352081944E-2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35" t="s">
        <v>133</v>
      </c>
      <c r="B310" s="336"/>
      <c r="C310" s="336"/>
      <c r="D310" s="336"/>
      <c r="E310" s="336"/>
      <c r="F310" s="336"/>
      <c r="G310" s="336"/>
      <c r="H310" s="336"/>
      <c r="I310" s="336"/>
      <c r="J310" s="336"/>
      <c r="K310" s="336"/>
      <c r="L310" s="337"/>
      <c r="M310" s="2"/>
      <c r="N310" s="335" t="s">
        <v>134</v>
      </c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  <c r="Y310" s="336"/>
      <c r="Z310" s="337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894">+C311+1</f>
        <v>2018</v>
      </c>
      <c r="E311" s="82">
        <f t="shared" si="894"/>
        <v>2019</v>
      </c>
      <c r="F311" s="82">
        <f t="shared" si="894"/>
        <v>2020</v>
      </c>
      <c r="G311" s="82">
        <f t="shared" si="894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895">+P311+1</f>
        <v>2018</v>
      </c>
      <c r="R311" s="82">
        <f t="shared" ref="R311" si="896">+Q311+1</f>
        <v>2019</v>
      </c>
      <c r="S311" s="82">
        <f t="shared" ref="S311" si="897">+R311+1</f>
        <v>2020</v>
      </c>
      <c r="T311" s="82">
        <f t="shared" ref="T311" si="898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104">
        <f>+'[1]EXP TOTAL VINO PAIS'!I171/1000</f>
        <v>0.435</v>
      </c>
      <c r="C312" s="6">
        <f>+'[1]EXP TOTAL VINO PAIS'!I183/1000</f>
        <v>1.238</v>
      </c>
      <c r="D312" s="6">
        <f>+'[1]EXP TOTAL VINO PAIS'!I195/1000</f>
        <v>1.212</v>
      </c>
      <c r="E312" s="6">
        <f>+'[1]EXP TOTAL VINO PAIS'!I207/1000</f>
        <v>1.0109999999999999</v>
      </c>
      <c r="F312" s="6">
        <f>+'[1]EXP TOTAL VINO PAIS'!I219/1000</f>
        <v>0.60599999999999998</v>
      </c>
      <c r="G312" s="6">
        <f>+'[1]EXP TOTAL VINO PAIS'!I231/1000</f>
        <v>0.45500000000000002</v>
      </c>
      <c r="H312" s="6">
        <f>+'[1]EXP TOTAL VINO PAIS'!I243/1000</f>
        <v>0.83399999999999996</v>
      </c>
      <c r="I312" s="6">
        <f>+'[1]EXP TOTAL VINO PAIS'!I255/1000</f>
        <v>1.34</v>
      </c>
      <c r="J312" s="105">
        <f>+'[1]EXP TOTAL VINO PAIS'!I267/1000</f>
        <v>0.26200000000000001</v>
      </c>
      <c r="K312" s="6">
        <f>+'[1]EXP TOTAL VINO PAIS'!I279/1000</f>
        <v>0.54400000000000004</v>
      </c>
      <c r="L312" s="91">
        <f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899">+SUM(D312)+SUM(C313:C323)</f>
        <v>20.227</v>
      </c>
      <c r="R312" s="6">
        <f t="shared" ref="R312:X312" si="900">+SUM(E312)+SUM(D313:D323)</f>
        <v>18.009999999999998</v>
      </c>
      <c r="S312" s="6">
        <f t="shared" si="900"/>
        <v>13.75</v>
      </c>
      <c r="T312" s="6">
        <f t="shared" si="900"/>
        <v>12.577</v>
      </c>
      <c r="U312" s="6">
        <f t="shared" si="900"/>
        <v>17.052</v>
      </c>
      <c r="V312" s="6">
        <f t="shared" si="900"/>
        <v>15.709</v>
      </c>
      <c r="W312" s="105">
        <f t="shared" si="900"/>
        <v>9.0310000000000006</v>
      </c>
      <c r="X312" s="105">
        <f t="shared" si="900"/>
        <v>11.547000000000001</v>
      </c>
      <c r="Y312" s="117">
        <f>+X312/W312-1</f>
        <v>0.27859594729265869</v>
      </c>
      <c r="Z312" s="113">
        <f>+POWER(X312/S312,0.2)-1</f>
        <v>-3.4319874113277637E-2</v>
      </c>
    </row>
    <row r="313" spans="1:26" x14ac:dyDescent="0.25">
      <c r="A313" s="89" t="s">
        <v>11</v>
      </c>
      <c r="B313" s="104">
        <f>+'[1]EXP TOTAL VINO PAIS'!I172/1000</f>
        <v>0.57999999999999996</v>
      </c>
      <c r="C313" s="6">
        <f>+'[1]EXP TOTAL VINO PAIS'!I184/1000</f>
        <v>1.1339999999999999</v>
      </c>
      <c r="D313" s="6">
        <f>+'[1]EXP TOTAL VINO PAIS'!I196/1000</f>
        <v>0.88400000000000001</v>
      </c>
      <c r="E313" s="6">
        <f>+'[1]EXP TOTAL VINO PAIS'!I208/1000</f>
        <v>0.71799999999999997</v>
      </c>
      <c r="F313" s="6">
        <f>+'[1]EXP TOTAL VINO PAIS'!I220/1000</f>
        <v>0.503</v>
      </c>
      <c r="G313" s="6">
        <f>+'[1]EXP TOTAL VINO PAIS'!I232/1000</f>
        <v>0.92100000000000004</v>
      </c>
      <c r="H313" s="6">
        <f>+'[1]EXP TOTAL VINO PAIS'!I244/1000</f>
        <v>0.80100000000000005</v>
      </c>
      <c r="I313" s="6">
        <f>+'[1]EXP TOTAL VINO PAIS'!I256/1000</f>
        <v>0.495</v>
      </c>
      <c r="J313" s="105">
        <f>+'[1]EXP TOTAL VINO PAIS'!I268/1000</f>
        <v>0.17899999999999999</v>
      </c>
      <c r="K313" s="6">
        <f>+'[1]EXP TOTAL VINO PAIS'!I280/1000</f>
        <v>0.73299999999999998</v>
      </c>
      <c r="L313" s="91">
        <f>+K313/J313-1</f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901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902">+SUM(J312:J313)+SUM(I314:I323)</f>
        <v>8.7149999999999999</v>
      </c>
      <c r="X313" s="105">
        <f t="shared" ref="X313" si="903">+SUM(K312:K313)+SUM(J314:J323)</f>
        <v>12.100999999999999</v>
      </c>
      <c r="Y313" s="117">
        <f>+X313/W313-1</f>
        <v>0.38852553069420526</v>
      </c>
      <c r="Z313" s="113">
        <f>+POWER(X313/S313,0.2)-1</f>
        <v>-2.2149189270673775E-2</v>
      </c>
    </row>
    <row r="314" spans="1:26" x14ac:dyDescent="0.25">
      <c r="A314" s="89" t="s">
        <v>0</v>
      </c>
      <c r="B314" s="104">
        <f>+'[1]EXP TOTAL VINO PAIS'!I173/1000</f>
        <v>1.177</v>
      </c>
      <c r="C314" s="6">
        <f>+'[1]EXP TOTAL VINO PAIS'!I185/1000</f>
        <v>0.48799999999999999</v>
      </c>
      <c r="D314" s="6">
        <f>+'[1]EXP TOTAL VINO PAIS'!I197/1000</f>
        <v>2.089</v>
      </c>
      <c r="E314" s="6">
        <f>+'[1]EXP TOTAL VINO PAIS'!I209/1000</f>
        <v>0.85599999999999998</v>
      </c>
      <c r="F314" s="6">
        <f>+'[1]EXP TOTAL VINO PAIS'!I221/1000</f>
        <v>0.51900000000000002</v>
      </c>
      <c r="G314" s="6">
        <f>+'[1]EXP TOTAL VINO PAIS'!I233/1000</f>
        <v>1.393</v>
      </c>
      <c r="H314" s="6">
        <f>+'[1]EXP TOTAL VINO PAIS'!I245/1000</f>
        <v>1.048</v>
      </c>
      <c r="I314" s="6">
        <f>+'[1]EXP TOTAL VINO PAIS'!I257/1000</f>
        <v>0.97</v>
      </c>
      <c r="J314" s="105">
        <f>+'[1]EXP TOTAL VINO PAIS'!I269/1000</f>
        <v>0.52</v>
      </c>
      <c r="K314" s="6">
        <f>+'[1]EXP TOTAL VINO PAIS'!I281/1000</f>
        <v>0.85499999999999998</v>
      </c>
      <c r="L314" s="91">
        <f>+K314/J314-1</f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904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905">+SUM(I312:I314)+SUM(H315:H323)</f>
        <v>15.324999999999999</v>
      </c>
      <c r="W314" s="105">
        <f t="shared" ref="W314" si="906">+SUM(J312:J314)+SUM(I315:I323)</f>
        <v>8.2650000000000006</v>
      </c>
      <c r="X314" s="105">
        <f t="shared" ref="X314" si="907">+SUM(K312:K314)+SUM(J315:J323)</f>
        <v>12.436</v>
      </c>
      <c r="Y314" s="117">
        <f>+X314/W314-1</f>
        <v>0.50465819721718086</v>
      </c>
      <c r="Z314" s="113">
        <f>+POWER(X314/S314,0.2)-1</f>
        <v>-1.1823508585753317E-2</v>
      </c>
    </row>
    <row r="315" spans="1:26" x14ac:dyDescent="0.25">
      <c r="A315" s="89" t="s">
        <v>1</v>
      </c>
      <c r="B315" s="104">
        <f>+'[1]EXP TOTAL VINO PAIS'!I174/1000</f>
        <v>1.2170000000000001</v>
      </c>
      <c r="C315" s="6">
        <f>+'[1]EXP TOTAL VINO PAIS'!I186/1000</f>
        <v>1.232</v>
      </c>
      <c r="D315" s="6">
        <f>+'[1]EXP TOTAL VINO PAIS'!I198/1000</f>
        <v>1.55</v>
      </c>
      <c r="E315" s="6">
        <f>+'[1]EXP TOTAL VINO PAIS'!I210/1000</f>
        <v>1.151</v>
      </c>
      <c r="F315" s="6">
        <f>+'[1]EXP TOTAL VINO PAIS'!I222/1000</f>
        <v>0.47599999999999998</v>
      </c>
      <c r="G315" s="6">
        <f>+'[1]EXP TOTAL VINO PAIS'!I234/1000</f>
        <v>1.5489999999999999</v>
      </c>
      <c r="H315" s="6">
        <f>+'[1]EXP TOTAL VINO PAIS'!I246/1000</f>
        <v>1.0960000000000001</v>
      </c>
      <c r="I315" s="6">
        <f>+'[1]EXP TOTAL VINO PAIS'!I258/1000</f>
        <v>0.83399999999999996</v>
      </c>
      <c r="J315" s="105">
        <f>+'[1]EXP TOTAL VINO PAIS'!I270/1000</f>
        <v>0.79200000000000004</v>
      </c>
      <c r="K315" s="6"/>
      <c r="L315" s="91"/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908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909">+SUM(I312:I315)+SUM(H316:H323)</f>
        <v>15.062999999999999</v>
      </c>
      <c r="W315" s="67">
        <f t="shared" ref="W315" si="910">+SUM(J312:J315)+SUM(I316:I323)</f>
        <v>8.2230000000000008</v>
      </c>
      <c r="X315" s="37"/>
      <c r="Y315" s="78"/>
      <c r="Z315" s="7"/>
    </row>
    <row r="316" spans="1:26" x14ac:dyDescent="0.25">
      <c r="A316" s="89" t="s">
        <v>2</v>
      </c>
      <c r="B316" s="104">
        <f>+'[1]EXP TOTAL VINO PAIS'!I175/1000</f>
        <v>1.4379999999999999</v>
      </c>
      <c r="C316" s="6">
        <f>+'[1]EXP TOTAL VINO PAIS'!I187/1000</f>
        <v>2.411</v>
      </c>
      <c r="D316" s="6">
        <f>+'[1]EXP TOTAL VINO PAIS'!I199/1000</f>
        <v>1.2050000000000001</v>
      </c>
      <c r="E316" s="6">
        <f>+'[1]EXP TOTAL VINO PAIS'!I211/1000</f>
        <v>1.167</v>
      </c>
      <c r="F316" s="6">
        <f>+'[1]EXP TOTAL VINO PAIS'!I223/1000</f>
        <v>1.577</v>
      </c>
      <c r="G316" s="6">
        <f>+'[1]EXP TOTAL VINO PAIS'!I235/1000</f>
        <v>2.7360000000000002</v>
      </c>
      <c r="H316" s="6">
        <f>+'[1]EXP TOTAL VINO PAIS'!I247/1000</f>
        <v>1.345</v>
      </c>
      <c r="I316" s="6">
        <f>+'[1]EXP TOTAL VINO PAIS'!I259/1000</f>
        <v>0.57199999999999995</v>
      </c>
      <c r="J316" s="105">
        <f>+'[1]EXP TOTAL VINO PAIS'!I271/1000</f>
        <v>1.2210000000000001</v>
      </c>
      <c r="K316" s="6"/>
      <c r="L316" s="91"/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911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912">+SUM(I312:I316)+SUM(H317:H323)</f>
        <v>14.29</v>
      </c>
      <c r="W316" s="105">
        <f t="shared" ref="W316" si="913">+SUM(J312:J316)+SUM(I317:I323)</f>
        <v>8.8719999999999999</v>
      </c>
      <c r="X316" s="105"/>
      <c r="Y316" s="117"/>
      <c r="Z316" s="113"/>
    </row>
    <row r="317" spans="1:26" x14ac:dyDescent="0.25">
      <c r="A317" s="89" t="s">
        <v>3</v>
      </c>
      <c r="B317" s="104">
        <f>+'[1]EXP TOTAL VINO PAIS'!I176/1000</f>
        <v>1.5660000000000001</v>
      </c>
      <c r="C317" s="6">
        <f>+'[1]EXP TOTAL VINO PAIS'!I188/1000</f>
        <v>2.3620000000000001</v>
      </c>
      <c r="D317" s="6">
        <f>+'[1]EXP TOTAL VINO PAIS'!I200/1000</f>
        <v>1.55</v>
      </c>
      <c r="E317" s="6">
        <f>+'[1]EXP TOTAL VINO PAIS'!I212/1000</f>
        <v>1.292</v>
      </c>
      <c r="F317" s="6">
        <f>+'[1]EXP TOTAL VINO PAIS'!I224/1000</f>
        <v>1.9359999999999999</v>
      </c>
      <c r="G317" s="6">
        <f>+'[1]EXP TOTAL VINO PAIS'!I236/1000</f>
        <v>1.0980000000000001</v>
      </c>
      <c r="H317" s="6">
        <f>+'[1]EXP TOTAL VINO PAIS'!I248/1000</f>
        <v>1.4119999999999999</v>
      </c>
      <c r="I317" s="6">
        <f>+'[1]EXP TOTAL VINO PAIS'!I260/1000</f>
        <v>0.79</v>
      </c>
      <c r="J317" s="105">
        <f>+'[1]EXP TOTAL VINO PAIS'!I272/1000</f>
        <v>1.212</v>
      </c>
      <c r="K317" s="6"/>
      <c r="L317" s="91"/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914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915">+SUM(I312:I317)+SUM(H318:H323)</f>
        <v>13.667999999999999</v>
      </c>
      <c r="W317" s="105">
        <f t="shared" ref="W317" si="916">+SUM(J312:J317)+SUM(I318:I323)</f>
        <v>9.2940000000000005</v>
      </c>
      <c r="X317" s="105"/>
      <c r="Y317" s="117"/>
      <c r="Z317" s="113"/>
    </row>
    <row r="318" spans="1:26" x14ac:dyDescent="0.25">
      <c r="A318" s="89" t="s">
        <v>4</v>
      </c>
      <c r="B318" s="104">
        <f>+'[1]EXP TOTAL VINO PAIS'!I177/1000</f>
        <v>1.742</v>
      </c>
      <c r="C318" s="6">
        <f>+'[1]EXP TOTAL VINO PAIS'!I189/1000</f>
        <v>2.4580000000000002</v>
      </c>
      <c r="D318" s="6">
        <f>+'[1]EXP TOTAL VINO PAIS'!I201/1000</f>
        <v>2.012</v>
      </c>
      <c r="E318" s="6">
        <f>+'[1]EXP TOTAL VINO PAIS'!I213/1000</f>
        <v>1.444</v>
      </c>
      <c r="F318" s="6">
        <f>+'[1]EXP TOTAL VINO PAIS'!I225/1000</f>
        <v>1.4319999999999999</v>
      </c>
      <c r="G318" s="6">
        <f>+'[1]EXP TOTAL VINO PAIS'!I237/1000</f>
        <v>1.486</v>
      </c>
      <c r="H318" s="6">
        <f>+'[1]EXP TOTAL VINO PAIS'!I249/1000</f>
        <v>3.0579999999999998</v>
      </c>
      <c r="I318" s="6">
        <f>+'[1]EXP TOTAL VINO PAIS'!I261/1000</f>
        <v>0.83099999999999996</v>
      </c>
      <c r="J318" s="105">
        <f>+'[1]EXP TOTAL VINO PAIS'!I273/1000</f>
        <v>0.85</v>
      </c>
      <c r="K318" s="6"/>
      <c r="L318" s="91"/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917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918">+SUM(I312:I318)+SUM(H319:H323)</f>
        <v>11.440999999999999</v>
      </c>
      <c r="W318" s="105">
        <f t="shared" ref="W318" si="919">+SUM(J312:J318)+SUM(I319:I323)</f>
        <v>9.3129999999999988</v>
      </c>
      <c r="X318" s="105"/>
      <c r="Y318" s="117"/>
      <c r="Z318" s="113"/>
    </row>
    <row r="319" spans="1:26" x14ac:dyDescent="0.25">
      <c r="A319" s="89" t="s">
        <v>5</v>
      </c>
      <c r="B319" s="104">
        <f>+'[1]EXP TOTAL VINO PAIS'!I178/1000</f>
        <v>1.4259999999999999</v>
      </c>
      <c r="C319" s="6">
        <f>+'[1]EXP TOTAL VINO PAIS'!I190/1000</f>
        <v>1.863</v>
      </c>
      <c r="D319" s="6">
        <f>+'[1]EXP TOTAL VINO PAIS'!I202/1000</f>
        <v>0.82199999999999995</v>
      </c>
      <c r="E319" s="6">
        <f>+'[1]EXP TOTAL VINO PAIS'!I214/1000</f>
        <v>0.79</v>
      </c>
      <c r="F319" s="6">
        <f>+'[1]EXP TOTAL VINO PAIS'!I226/1000</f>
        <v>1.43</v>
      </c>
      <c r="G319" s="6">
        <f>+'[1]EXP TOTAL VINO PAIS'!I238/1000</f>
        <v>1.482</v>
      </c>
      <c r="H319" s="6">
        <f>+'[1]EXP TOTAL VINO PAIS'!I250/1000</f>
        <v>1.7450000000000001</v>
      </c>
      <c r="I319" s="6">
        <f>+'[1]EXP TOTAL VINO PAIS'!I262/1000</f>
        <v>0.68899999999999995</v>
      </c>
      <c r="J319" s="105">
        <f>+'[1]EXP TOTAL VINO PAIS'!I274/1000</f>
        <v>1.921</v>
      </c>
      <c r="K319" s="6"/>
      <c r="L319" s="91"/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920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921">+SUM(I312:I319)+SUM(H320:H323)</f>
        <v>10.384999999999998</v>
      </c>
      <c r="W319" s="105">
        <f t="shared" ref="W319" si="922">+SUM(J312:J319)+SUM(I320:I323)</f>
        <v>10.545</v>
      </c>
      <c r="X319" s="105"/>
      <c r="Y319" s="117"/>
      <c r="Z319" s="113"/>
    </row>
    <row r="320" spans="1:26" x14ac:dyDescent="0.25">
      <c r="A320" s="89" t="s">
        <v>6</v>
      </c>
      <c r="B320" s="104">
        <f>+'[1]EXP TOTAL VINO PAIS'!I179/1000</f>
        <v>1.7070000000000001</v>
      </c>
      <c r="C320" s="6">
        <f>+'[1]EXP TOTAL VINO PAIS'!I191/1000</f>
        <v>1.9770000000000001</v>
      </c>
      <c r="D320" s="6">
        <f>+'[1]EXP TOTAL VINO PAIS'!I203/1000</f>
        <v>1.87</v>
      </c>
      <c r="E320" s="6">
        <f>+'[1]EXP TOTAL VINO PAIS'!I215/1000</f>
        <v>1.4770000000000001</v>
      </c>
      <c r="F320" s="6">
        <f>+'[1]EXP TOTAL VINO PAIS'!I227/1000</f>
        <v>1.127</v>
      </c>
      <c r="G320" s="6">
        <f>+'[1]EXP TOTAL VINO PAIS'!I239/1000</f>
        <v>1.2669999999999999</v>
      </c>
      <c r="H320" s="6">
        <f>+'[1]EXP TOTAL VINO PAIS'!I251/1000</f>
        <v>1.1659999999999999</v>
      </c>
      <c r="I320" s="6">
        <f>+'[1]EXP TOTAL VINO PAIS'!I263/1000</f>
        <v>1.2509999999999999</v>
      </c>
      <c r="J320" s="105">
        <f>+'[1]EXP TOTAL VINO PAIS'!I275/1000</f>
        <v>1.5269999999999999</v>
      </c>
      <c r="K320" s="6"/>
      <c r="L320" s="91"/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923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924">+SUM(I312:I320)+SUM(H321:H323)</f>
        <v>10.469999999999999</v>
      </c>
      <c r="W320" s="105">
        <f t="shared" ref="W320" si="925">+SUM(J312:J320)+SUM(I321:I323)</f>
        <v>10.821</v>
      </c>
      <c r="X320" s="105"/>
      <c r="Y320" s="117"/>
      <c r="Z320" s="113"/>
    </row>
    <row r="321" spans="1:26" x14ac:dyDescent="0.25">
      <c r="A321" s="89" t="s">
        <v>7</v>
      </c>
      <c r="B321" s="104">
        <f>+'[1]EXP TOTAL VINO PAIS'!I180/1000</f>
        <v>1.9139999999999999</v>
      </c>
      <c r="C321" s="6">
        <f>+'[1]EXP TOTAL VINO PAIS'!I192/1000</f>
        <v>1.377</v>
      </c>
      <c r="D321" s="6">
        <f>+'[1]EXP TOTAL VINO PAIS'!I204/1000</f>
        <v>1.782</v>
      </c>
      <c r="E321" s="6">
        <f>+'[1]EXP TOTAL VINO PAIS'!I216/1000</f>
        <v>1.0780000000000001</v>
      </c>
      <c r="F321" s="6">
        <f>+'[1]EXP TOTAL VINO PAIS'!I228/1000</f>
        <v>1.33</v>
      </c>
      <c r="G321" s="6">
        <f>+'[1]EXP TOTAL VINO PAIS'!I240/1000</f>
        <v>1.6719999999999999</v>
      </c>
      <c r="H321" s="6">
        <f>+'[1]EXP TOTAL VINO PAIS'!I252/1000</f>
        <v>0.77500000000000002</v>
      </c>
      <c r="I321" s="6">
        <f>+'[1]EXP TOTAL VINO PAIS'!I264/1000</f>
        <v>0.26700000000000002</v>
      </c>
      <c r="J321" s="105">
        <f>+'[1]EXP TOTAL VINO PAIS'!I276/1000</f>
        <v>0.99</v>
      </c>
      <c r="K321" s="6"/>
      <c r="L321" s="91"/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926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927">+SUM(I312:I321)+SUM(H322:H323)</f>
        <v>9.961999999999998</v>
      </c>
      <c r="W321" s="105">
        <f t="shared" ref="W321" si="928">+SUM(J312:J321)+SUM(I322:I323)</f>
        <v>11.544</v>
      </c>
      <c r="X321" s="105"/>
      <c r="Y321" s="117"/>
      <c r="Z321" s="113"/>
    </row>
    <row r="322" spans="1:26" x14ac:dyDescent="0.25">
      <c r="A322" s="89" t="s">
        <v>8</v>
      </c>
      <c r="B322" s="104">
        <f>+'[1]EXP TOTAL VINO PAIS'!I181/1000</f>
        <v>1.609</v>
      </c>
      <c r="C322" s="6">
        <f>+'[1]EXP TOTAL VINO PAIS'!I193/1000</f>
        <v>1.637</v>
      </c>
      <c r="D322" s="6">
        <f>+'[1]EXP TOTAL VINO PAIS'!I205/1000</f>
        <v>2.1640000000000001</v>
      </c>
      <c r="E322" s="6">
        <f>+'[1]EXP TOTAL VINO PAIS'!I217/1000</f>
        <v>1.643</v>
      </c>
      <c r="F322" s="6">
        <f>+'[1]EXP TOTAL VINO PAIS'!I229/1000</f>
        <v>1.145</v>
      </c>
      <c r="G322" s="6">
        <f>+'[1]EXP TOTAL VINO PAIS'!I241/1000</f>
        <v>1.02</v>
      </c>
      <c r="H322" s="6">
        <f>+'[1]EXP TOTAL VINO PAIS'!I253/1000</f>
        <v>0.61899999999999999</v>
      </c>
      <c r="I322" s="6">
        <f>+'[1]EXP TOTAL VINO PAIS'!I265/1000</f>
        <v>0.72599999999999998</v>
      </c>
      <c r="J322" s="105">
        <f>+'[1]EXP TOTAL VINO PAIS'!I277/1000</f>
        <v>0.95499999999999996</v>
      </c>
      <c r="K322" s="6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929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930">+SUM(I312:I322)+SUM(H323)</f>
        <v>10.068999999999997</v>
      </c>
      <c r="W322" s="105">
        <f t="shared" ref="W322" si="931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104">
        <f>+'[1]EXP TOTAL VINO PAIS'!I182/1000</f>
        <v>1.59</v>
      </c>
      <c r="C323" s="6">
        <f>+'[1]EXP TOTAL VINO PAIS'!I194/1000</f>
        <v>2.0760000000000001</v>
      </c>
      <c r="D323" s="6">
        <f>+'[1]EXP TOTAL VINO PAIS'!I206/1000</f>
        <v>1.071</v>
      </c>
      <c r="E323" s="6">
        <f>+'[1]EXP TOTAL VINO PAIS'!I218/1000</f>
        <v>1.528</v>
      </c>
      <c r="F323" s="6">
        <f>+'[1]EXP TOTAL VINO PAIS'!I230/1000</f>
        <v>0.64700000000000002</v>
      </c>
      <c r="G323" s="6">
        <f>+'[1]EXP TOTAL VINO PAIS'!I242/1000</f>
        <v>1.5940000000000001</v>
      </c>
      <c r="H323" s="6">
        <f>+'[1]EXP TOTAL VINO PAIS'!I254/1000</f>
        <v>1.304</v>
      </c>
      <c r="I323" s="6">
        <f>+'[1]EXP TOTAL VINO PAIS'!I266/1000</f>
        <v>1.3440000000000001</v>
      </c>
      <c r="J323" s="105">
        <f>+'[1]EXP TOTAL VINO PAIS'!I278/1000</f>
        <v>0.83599999999999997</v>
      </c>
      <c r="K323" s="6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932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933">+SUM(I312:I323)</f>
        <v>10.108999999999996</v>
      </c>
      <c r="W323" s="105">
        <f t="shared" ref="W323" si="934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106">
        <f>SUM(B312:B323)</f>
        <v>16.401000000000003</v>
      </c>
      <c r="C324" s="83">
        <f t="shared" ref="C324:F324" si="935">SUM(C312:C323)</f>
        <v>20.253</v>
      </c>
      <c r="D324" s="83">
        <f t="shared" si="935"/>
        <v>18.211000000000002</v>
      </c>
      <c r="E324" s="83">
        <f t="shared" si="935"/>
        <v>14.154999999999999</v>
      </c>
      <c r="F324" s="83">
        <f t="shared" si="935"/>
        <v>12.728</v>
      </c>
      <c r="G324" s="83">
        <f t="shared" ref="G324" si="936">SUM(G312:G323)</f>
        <v>16.673000000000002</v>
      </c>
      <c r="H324" s="83">
        <f t="shared" ref="H324" si="937">SUM(H312:H323)</f>
        <v>15.202999999999999</v>
      </c>
      <c r="I324" s="83">
        <f t="shared" ref="I324:J324" si="938">SUM(I312:I323)</f>
        <v>10.108999999999996</v>
      </c>
      <c r="J324" s="107">
        <f t="shared" si="938"/>
        <v>11.265000000000001</v>
      </c>
      <c r="K324" s="83"/>
      <c r="L324" s="94"/>
      <c r="M324" s="3"/>
      <c r="N324" s="92" t="s">
        <v>14</v>
      </c>
      <c r="O324" s="106">
        <f t="shared" ref="O324" si="939">+AVERAGE(O312:O323)</f>
        <v>12.674083333333334</v>
      </c>
      <c r="P324" s="83">
        <f>+AVERAGE(P312:P323)</f>
        <v>18.802916666666672</v>
      </c>
      <c r="Q324" s="83">
        <f t="shared" ref="Q324:W324" si="940">+AVERAGE(Q312:Q323)</f>
        <v>19.705749999999998</v>
      </c>
      <c r="R324" s="83">
        <f t="shared" si="940"/>
        <v>15.702166666666665</v>
      </c>
      <c r="S324" s="83">
        <f t="shared" si="940"/>
        <v>13.465416666666668</v>
      </c>
      <c r="T324" s="83">
        <f t="shared" si="940"/>
        <v>15.016</v>
      </c>
      <c r="U324" s="83">
        <f t="shared" si="940"/>
        <v>16.117249999999999</v>
      </c>
      <c r="V324" s="83">
        <f t="shared" si="940"/>
        <v>12.657833333333331</v>
      </c>
      <c r="W324" s="107">
        <f t="shared" si="940"/>
        <v>9.805083333333334</v>
      </c>
      <c r="X324" s="107">
        <f t="shared" ref="X324" si="941">+AVERAGE(X312:X323)</f>
        <v>12.028</v>
      </c>
      <c r="Y324" s="119">
        <f>+X324/W324-1</f>
        <v>0.22671063478977738</v>
      </c>
      <c r="Z324" s="173">
        <f>+POWER(X324/S324,0.2)-1</f>
        <v>-2.2324517031576341E-2</v>
      </c>
    </row>
    <row r="325" spans="1:26" ht="25.5" x14ac:dyDescent="0.25">
      <c r="A325" s="95" t="s">
        <v>15</v>
      </c>
      <c r="B325" s="108">
        <f t="shared" ref="B325:G325" si="942">+B324/B$360</f>
        <v>2.0078939700744102E-2</v>
      </c>
      <c r="C325" s="84">
        <f t="shared" si="942"/>
        <v>2.5130098793189448E-2</v>
      </c>
      <c r="D325" s="84">
        <f t="shared" si="942"/>
        <v>2.2093756824303014E-2</v>
      </c>
      <c r="E325" s="84">
        <f t="shared" si="942"/>
        <v>1.7780563601785718E-2</v>
      </c>
      <c r="F325" s="84">
        <f t="shared" si="942"/>
        <v>1.631410026352758E-2</v>
      </c>
      <c r="G325" s="84">
        <f t="shared" si="942"/>
        <v>2.01751668659216E-2</v>
      </c>
      <c r="H325" s="84">
        <f t="shared" ref="H325" si="943">+H324/H$360</f>
        <v>1.9304416283617339E-2</v>
      </c>
      <c r="I325" s="84">
        <f t="shared" ref="I325:J325" si="944">+I324/I$360</f>
        <v>1.5499917969570539E-2</v>
      </c>
      <c r="J325" s="109">
        <f t="shared" si="944"/>
        <v>1.6536629404813461E-2</v>
      </c>
      <c r="K325" s="84"/>
      <c r="L325" s="97"/>
      <c r="M325" s="3"/>
      <c r="N325" s="95" t="s">
        <v>15</v>
      </c>
      <c r="O325" s="108">
        <f t="shared" ref="O325:W325" si="945">+O324/O$360</f>
        <v>1.5746599120155969E-2</v>
      </c>
      <c r="P325" s="84">
        <f t="shared" si="945"/>
        <v>2.3197465864353513E-2</v>
      </c>
      <c r="Q325" s="84">
        <f t="shared" si="945"/>
        <v>2.4325376092355137E-2</v>
      </c>
      <c r="R325" s="84">
        <f t="shared" si="945"/>
        <v>1.9219019879557025E-2</v>
      </c>
      <c r="S325" s="84">
        <f t="shared" si="945"/>
        <v>1.7128344550825767E-2</v>
      </c>
      <c r="T325" s="84">
        <f t="shared" si="945"/>
        <v>1.8726418163062589E-2</v>
      </c>
      <c r="U325" s="84">
        <f t="shared" si="945"/>
        <v>1.9692125674792341E-2</v>
      </c>
      <c r="V325" s="84">
        <f t="shared" si="945"/>
        <v>1.7768800870904496E-2</v>
      </c>
      <c r="W325" s="109">
        <f t="shared" si="945"/>
        <v>1.4991538504074798E-2</v>
      </c>
      <c r="X325" s="109">
        <f t="shared" ref="X325" si="946">+X324/X$360</f>
        <v>1.7740378091685171E-2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947">+D324/C324-1</f>
        <v>-0.10082456919962468</v>
      </c>
      <c r="E326" s="85">
        <f t="shared" si="947"/>
        <v>-0.22272253033880629</v>
      </c>
      <c r="F326" s="85">
        <f t="shared" si="947"/>
        <v>-0.10081243376898619</v>
      </c>
      <c r="G326" s="85">
        <f t="shared" si="947"/>
        <v>0.30994657448145846</v>
      </c>
      <c r="H326" s="85">
        <f t="shared" si="947"/>
        <v>-8.8166496731242217E-2</v>
      </c>
      <c r="I326" s="85">
        <f t="shared" si="947"/>
        <v>-0.33506544760902479</v>
      </c>
      <c r="J326" s="111">
        <f t="shared" si="947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948">+Q324/P324-1</f>
        <v>4.8015600416601689E-2</v>
      </c>
      <c r="R326" s="85">
        <f t="shared" ref="R326" si="949">+R324/Q324-1</f>
        <v>-0.2031682799859601</v>
      </c>
      <c r="S326" s="85">
        <f t="shared" ref="S326" si="950">+S324/R324-1</f>
        <v>-0.14244849436914209</v>
      </c>
      <c r="T326" s="85">
        <f t="shared" ref="T326" si="951">+T324/S324-1</f>
        <v>0.1151530154407896</v>
      </c>
      <c r="U326" s="85">
        <f t="shared" ref="U326" si="952">+U324/T324-1</f>
        <v>7.3338438998401534E-2</v>
      </c>
      <c r="V326" s="85">
        <f t="shared" ref="V326" si="953">+V324/U324-1</f>
        <v>-0.21464062831231556</v>
      </c>
      <c r="W326" s="111">
        <f t="shared" ref="W326:X326" si="954">+W324/V324-1</f>
        <v>-0.22537427416487787</v>
      </c>
      <c r="X326" s="111">
        <f t="shared" si="954"/>
        <v>0.22671063478977738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35" t="s">
        <v>135</v>
      </c>
      <c r="B328" s="336"/>
      <c r="C328" s="336"/>
      <c r="D328" s="336"/>
      <c r="E328" s="336"/>
      <c r="F328" s="336"/>
      <c r="G328" s="336"/>
      <c r="H328" s="336"/>
      <c r="I328" s="336"/>
      <c r="J328" s="336"/>
      <c r="K328" s="336"/>
      <c r="L328" s="337"/>
      <c r="M328" s="2"/>
      <c r="N328" s="335" t="s">
        <v>136</v>
      </c>
      <c r="O328" s="336"/>
      <c r="P328" s="336"/>
      <c r="Q328" s="336"/>
      <c r="R328" s="336"/>
      <c r="S328" s="336"/>
      <c r="T328" s="336"/>
      <c r="U328" s="336"/>
      <c r="V328" s="336"/>
      <c r="W328" s="336"/>
      <c r="X328" s="336"/>
      <c r="Y328" s="336"/>
      <c r="Z328" s="337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955">+C329+1</f>
        <v>2018</v>
      </c>
      <c r="E329" s="82">
        <f t="shared" ref="E329" si="956">+D329+1</f>
        <v>2019</v>
      </c>
      <c r="F329" s="82">
        <f t="shared" ref="F329" si="957">+E329+1</f>
        <v>2020</v>
      </c>
      <c r="G329" s="82">
        <f t="shared" ref="G329" si="958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959">+P329+1</f>
        <v>2018</v>
      </c>
      <c r="R329" s="82">
        <f t="shared" ref="R329" si="960">+Q329+1</f>
        <v>2019</v>
      </c>
      <c r="S329" s="82">
        <f t="shared" ref="S329" si="961">+R329+1</f>
        <v>2020</v>
      </c>
      <c r="T329" s="82">
        <f t="shared" ref="T329" si="962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104">
        <f>+'[1]EXP TOTAL VINO PAIS'!J171/1000</f>
        <v>0.624</v>
      </c>
      <c r="C330" s="6">
        <f>+'[1]EXP TOTAL VINO PAIS'!J183/1000</f>
        <v>0.82499999999999996</v>
      </c>
      <c r="D330" s="6">
        <f>+'[1]EXP TOTAL VINO PAIS'!J195/1000</f>
        <v>0.94799999999999995</v>
      </c>
      <c r="E330" s="6">
        <f>+'[1]EXP TOTAL VINO PAIS'!J207/1000</f>
        <v>0.64500000000000002</v>
      </c>
      <c r="F330" s="6">
        <f>+'[1]EXP TOTAL VINO PAIS'!J219/1000</f>
        <v>0.99399999999999999</v>
      </c>
      <c r="G330" s="6">
        <f>+'[1]EXP TOTAL VINO PAIS'!J231/1000</f>
        <v>1.778</v>
      </c>
      <c r="H330" s="6">
        <f>+'[1]EXP TOTAL VINO PAIS'!J243/1000</f>
        <v>0.65</v>
      </c>
      <c r="I330" s="6">
        <f>+'[1]EXP TOTAL VINO PAIS'!J255/1000</f>
        <v>1.159</v>
      </c>
      <c r="J330" s="105">
        <f>+'[1]EXP TOTAL VINO PAIS'!J267/1000</f>
        <v>0.45500000000000002</v>
      </c>
      <c r="K330" s="6">
        <f>+'[1]EXP TOTAL VINO PAIS'!J279/1000</f>
        <v>0.57599999999999996</v>
      </c>
      <c r="L330" s="91">
        <f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963">+SUM(D330)+SUM(C331:C341)</f>
        <v>16.526</v>
      </c>
      <c r="R330" s="6">
        <f t="shared" ref="R330:X330" si="964">+SUM(E330)+SUM(D331:D341)</f>
        <v>16.315000000000001</v>
      </c>
      <c r="S330" s="6">
        <f t="shared" si="964"/>
        <v>13.053000000000001</v>
      </c>
      <c r="T330" s="6">
        <f t="shared" si="964"/>
        <v>12.303000000000001</v>
      </c>
      <c r="U330" s="6">
        <f t="shared" si="964"/>
        <v>14.052</v>
      </c>
      <c r="V330" s="6">
        <f t="shared" si="964"/>
        <v>11.45</v>
      </c>
      <c r="W330" s="105">
        <f t="shared" si="964"/>
        <v>11.013</v>
      </c>
      <c r="X330" s="105">
        <f t="shared" si="964"/>
        <v>10.715000000000002</v>
      </c>
      <c r="Y330" s="117">
        <f>+X330/W330-1</f>
        <v>-2.7058930355034816E-2</v>
      </c>
      <c r="Z330" s="113">
        <f>+POWER(X330/S330,0.2)-1</f>
        <v>-3.8705699324948162E-2</v>
      </c>
    </row>
    <row r="331" spans="1:26" x14ac:dyDescent="0.25">
      <c r="A331" s="89" t="s">
        <v>11</v>
      </c>
      <c r="B331" s="104">
        <f>+'[1]EXP TOTAL VINO PAIS'!J172/1000</f>
        <v>1.113</v>
      </c>
      <c r="C331" s="6">
        <f>+'[1]EXP TOTAL VINO PAIS'!J184/1000</f>
        <v>1.0740000000000001</v>
      </c>
      <c r="D331" s="6">
        <f>+'[1]EXP TOTAL VINO PAIS'!J196/1000</f>
        <v>1.0940000000000001</v>
      </c>
      <c r="E331" s="6">
        <f>+'[1]EXP TOTAL VINO PAIS'!J208/1000</f>
        <v>0.87</v>
      </c>
      <c r="F331" s="6">
        <f>+'[1]EXP TOTAL VINO PAIS'!J220/1000</f>
        <v>0.88</v>
      </c>
      <c r="G331" s="6">
        <f>+'[1]EXP TOTAL VINO PAIS'!J232/1000</f>
        <v>1.194</v>
      </c>
      <c r="H331" s="6">
        <f>+'[1]EXP TOTAL VINO PAIS'!J244/1000</f>
        <v>1.3939999999999999</v>
      </c>
      <c r="I331" s="6">
        <f>+'[1]EXP TOTAL VINO PAIS'!J256/1000</f>
        <v>0.80300000000000005</v>
      </c>
      <c r="J331" s="105">
        <f>+'[1]EXP TOTAL VINO PAIS'!J268/1000</f>
        <v>0.89700000000000002</v>
      </c>
      <c r="K331" s="6">
        <f>+'[1]EXP TOTAL VINO PAIS'!J280/1000</f>
        <v>0.378</v>
      </c>
      <c r="L331" s="91">
        <f>+K331/J331-1</f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965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966">+SUM(J330:J331)+SUM(I332:I341)</f>
        <v>11.106999999999999</v>
      </c>
      <c r="X331" s="105">
        <f t="shared" ref="X331" si="967">+SUM(K330:K331)+SUM(J332:J341)</f>
        <v>10.196000000000003</v>
      </c>
      <c r="Y331" s="117">
        <f>+X331/W331-1</f>
        <v>-8.2020347528585225E-2</v>
      </c>
      <c r="Z331" s="113">
        <f>+POWER(X331/S331,0.2)-1</f>
        <v>-4.8349719405734737E-2</v>
      </c>
    </row>
    <row r="332" spans="1:26" x14ac:dyDescent="0.25">
      <c r="A332" s="89" t="s">
        <v>0</v>
      </c>
      <c r="B332" s="104">
        <f>+'[1]EXP TOTAL VINO PAIS'!J173/1000</f>
        <v>1.7490000000000001</v>
      </c>
      <c r="C332" s="6">
        <f>+'[1]EXP TOTAL VINO PAIS'!J185/1000</f>
        <v>1.911</v>
      </c>
      <c r="D332" s="6">
        <f>+'[1]EXP TOTAL VINO PAIS'!J197/1000</f>
        <v>2.298</v>
      </c>
      <c r="E332" s="6">
        <f>+'[1]EXP TOTAL VINO PAIS'!J209/1000</f>
        <v>0.90200000000000002</v>
      </c>
      <c r="F332" s="6">
        <f>+'[1]EXP TOTAL VINO PAIS'!J221/1000</f>
        <v>0.46700000000000003</v>
      </c>
      <c r="G332" s="6">
        <f>+'[1]EXP TOTAL VINO PAIS'!J233/1000</f>
        <v>0.95</v>
      </c>
      <c r="H332" s="6">
        <f>+'[1]EXP TOTAL VINO PAIS'!J245/1000</f>
        <v>0.45800000000000002</v>
      </c>
      <c r="I332" s="6">
        <f>+'[1]EXP TOTAL VINO PAIS'!J257/1000</f>
        <v>0.97399999999999998</v>
      </c>
      <c r="J332" s="105">
        <f>+'[1]EXP TOTAL VINO PAIS'!J269/1000</f>
        <v>0.63100000000000001</v>
      </c>
      <c r="K332" s="6">
        <f>+'[1]EXP TOTAL VINO PAIS'!J281/1000</f>
        <v>1.0629999999999999</v>
      </c>
      <c r="L332" s="91">
        <f>+K332/J332-1</f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968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969">+SUM(I330:I332)+SUM(H333:H341)</f>
        <v>11.375</v>
      </c>
      <c r="W332" s="105">
        <f t="shared" ref="W332" si="970">+SUM(J330:J332)+SUM(I333:I341)</f>
        <v>10.763999999999999</v>
      </c>
      <c r="X332" s="105">
        <f t="shared" ref="X332" si="971">+SUM(K330:K332)+SUM(J333:J341)</f>
        <v>10.627999999999998</v>
      </c>
      <c r="Y332" s="117">
        <f>+X332/W332-1</f>
        <v>-1.263470828688229E-2</v>
      </c>
      <c r="Z332" s="113">
        <f>+POWER(X332/S332,0.2)-1</f>
        <v>-3.3897080538928703E-2</v>
      </c>
    </row>
    <row r="333" spans="1:26" x14ac:dyDescent="0.25">
      <c r="A333" s="89" t="s">
        <v>1</v>
      </c>
      <c r="B333" s="104">
        <f>+'[1]EXP TOTAL VINO PAIS'!J174/1000</f>
        <v>1.452</v>
      </c>
      <c r="C333" s="6">
        <f>+'[1]EXP TOTAL VINO PAIS'!J186/1000</f>
        <v>1.518</v>
      </c>
      <c r="D333" s="6">
        <f>+'[1]EXP TOTAL VINO PAIS'!J198/1000</f>
        <v>0.997</v>
      </c>
      <c r="E333" s="6">
        <f>+'[1]EXP TOTAL VINO PAIS'!J210/1000</f>
        <v>0.81399999999999995</v>
      </c>
      <c r="F333" s="6">
        <f>+'[1]EXP TOTAL VINO PAIS'!J222/1000</f>
        <v>0.79200000000000004</v>
      </c>
      <c r="G333" s="6">
        <f>+'[1]EXP TOTAL VINO PAIS'!J234/1000</f>
        <v>0.85899999999999999</v>
      </c>
      <c r="H333" s="6">
        <f>+'[1]EXP TOTAL VINO PAIS'!J246/1000</f>
        <v>1.022</v>
      </c>
      <c r="I333" s="6">
        <f>+'[1]EXP TOTAL VINO PAIS'!J258/1000</f>
        <v>0.314</v>
      </c>
      <c r="J333" s="105">
        <f>+'[1]EXP TOTAL VINO PAIS'!J270/1000</f>
        <v>0.85599999999999998</v>
      </c>
      <c r="K333" s="6"/>
      <c r="L333" s="91"/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972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973">+SUM(I330:I333)+SUM(H334:H341)</f>
        <v>10.667</v>
      </c>
      <c r="W333" s="67">
        <f t="shared" ref="W333" si="974">+SUM(J330:J333)+SUM(I334:I341)</f>
        <v>11.306000000000001</v>
      </c>
      <c r="X333" s="37"/>
      <c r="Y333" s="78"/>
      <c r="Z333" s="7"/>
    </row>
    <row r="334" spans="1:26" x14ac:dyDescent="0.25">
      <c r="A334" s="89" t="s">
        <v>2</v>
      </c>
      <c r="B334" s="104">
        <f>+'[1]EXP TOTAL VINO PAIS'!J175/1000</f>
        <v>1.0469999999999999</v>
      </c>
      <c r="C334" s="6">
        <f>+'[1]EXP TOTAL VINO PAIS'!J187/1000</f>
        <v>1.0189999999999999</v>
      </c>
      <c r="D334" s="6">
        <f>+'[1]EXP TOTAL VINO PAIS'!J199/1000</f>
        <v>0.92700000000000005</v>
      </c>
      <c r="E334" s="6">
        <f>+'[1]EXP TOTAL VINO PAIS'!J211/1000</f>
        <v>1.2549999999999999</v>
      </c>
      <c r="F334" s="6">
        <f>+'[1]EXP TOTAL VINO PAIS'!J223/1000</f>
        <v>1.1930000000000001</v>
      </c>
      <c r="G334" s="6">
        <f>+'[1]EXP TOTAL VINO PAIS'!J235/1000</f>
        <v>1.5660000000000001</v>
      </c>
      <c r="H334" s="6">
        <f>+'[1]EXP TOTAL VINO PAIS'!J247/1000</f>
        <v>0.94199999999999995</v>
      </c>
      <c r="I334" s="6">
        <f>+'[1]EXP TOTAL VINO PAIS'!J259/1000</f>
        <v>0.57799999999999996</v>
      </c>
      <c r="J334" s="105">
        <f>+'[1]EXP TOTAL VINO PAIS'!J271/1000</f>
        <v>0.53500000000000003</v>
      </c>
      <c r="K334" s="6"/>
      <c r="L334" s="91"/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975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976">+SUM(I330:I334)+SUM(H335:H341)</f>
        <v>10.302999999999999</v>
      </c>
      <c r="W334" s="105">
        <f t="shared" ref="W334" si="977">+SUM(J330:J334)+SUM(I335:I341)</f>
        <v>11.263</v>
      </c>
      <c r="X334" s="105"/>
      <c r="Y334" s="117"/>
      <c r="Z334" s="113"/>
    </row>
    <row r="335" spans="1:26" x14ac:dyDescent="0.25">
      <c r="A335" s="89" t="s">
        <v>3</v>
      </c>
      <c r="B335" s="104">
        <f>+'[1]EXP TOTAL VINO PAIS'!J176/1000</f>
        <v>0.84299999999999997</v>
      </c>
      <c r="C335" s="6">
        <f>+'[1]EXP TOTAL VINO PAIS'!J188/1000</f>
        <v>1.4330000000000001</v>
      </c>
      <c r="D335" s="6">
        <f>+'[1]EXP TOTAL VINO PAIS'!J200/1000</f>
        <v>1.179</v>
      </c>
      <c r="E335" s="6">
        <f>+'[1]EXP TOTAL VINO PAIS'!J212/1000</f>
        <v>1.768</v>
      </c>
      <c r="F335" s="6">
        <f>+'[1]EXP TOTAL VINO PAIS'!J224/1000</f>
        <v>0.78900000000000003</v>
      </c>
      <c r="G335" s="6">
        <f>+'[1]EXP TOTAL VINO PAIS'!J236/1000</f>
        <v>1.679</v>
      </c>
      <c r="H335" s="6">
        <f>+'[1]EXP TOTAL VINO PAIS'!J248/1000</f>
        <v>1.2410000000000001</v>
      </c>
      <c r="I335" s="6">
        <f>+'[1]EXP TOTAL VINO PAIS'!J260/1000</f>
        <v>0.78800000000000003</v>
      </c>
      <c r="J335" s="105">
        <f>+'[1]EXP TOTAL VINO PAIS'!J272/1000</f>
        <v>0.59099999999999997</v>
      </c>
      <c r="K335" s="6"/>
      <c r="L335" s="91"/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978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979">+SUM(I330:I335)+SUM(H336:H341)</f>
        <v>9.85</v>
      </c>
      <c r="W335" s="105">
        <f t="shared" ref="W335" si="980">+SUM(J330:J335)+SUM(I336:I341)</f>
        <v>11.065999999999999</v>
      </c>
      <c r="X335" s="105"/>
      <c r="Y335" s="117"/>
      <c r="Z335" s="113"/>
    </row>
    <row r="336" spans="1:26" x14ac:dyDescent="0.25">
      <c r="A336" s="89" t="s">
        <v>4</v>
      </c>
      <c r="B336" s="104">
        <f>+'[1]EXP TOTAL VINO PAIS'!J177/1000</f>
        <v>1.333</v>
      </c>
      <c r="C336" s="6">
        <f>+'[1]EXP TOTAL VINO PAIS'!J189/1000</f>
        <v>0.86799999999999999</v>
      </c>
      <c r="D336" s="6">
        <f>+'[1]EXP TOTAL VINO PAIS'!J201/1000</f>
        <v>1.42</v>
      </c>
      <c r="E336" s="6">
        <f>+'[1]EXP TOTAL VINO PAIS'!J213/1000</f>
        <v>0.95</v>
      </c>
      <c r="F336" s="6">
        <f>+'[1]EXP TOTAL VINO PAIS'!J225/1000</f>
        <v>1.5920000000000001</v>
      </c>
      <c r="G336" s="6">
        <f>+'[1]EXP TOTAL VINO PAIS'!J237/1000</f>
        <v>0.82899999999999996</v>
      </c>
      <c r="H336" s="6">
        <f>+'[1]EXP TOTAL VINO PAIS'!J249/1000</f>
        <v>0.59599999999999997</v>
      </c>
      <c r="I336" s="6">
        <f>+'[1]EXP TOTAL VINO PAIS'!J261/1000</f>
        <v>0.94299999999999995</v>
      </c>
      <c r="J336" s="105">
        <f>+'[1]EXP TOTAL VINO PAIS'!J273/1000</f>
        <v>1.1359999999999999</v>
      </c>
      <c r="K336" s="6"/>
      <c r="L336" s="91"/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981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982">+SUM(I330:I336)+SUM(H337:H341)</f>
        <v>10.196999999999999</v>
      </c>
      <c r="W336" s="105">
        <f t="shared" ref="W336" si="983">+SUM(J330:J336)+SUM(I337:I341)</f>
        <v>11.259</v>
      </c>
      <c r="X336" s="105"/>
      <c r="Y336" s="117"/>
      <c r="Z336" s="113"/>
    </row>
    <row r="337" spans="1:26" x14ac:dyDescent="0.25">
      <c r="A337" s="89" t="s">
        <v>5</v>
      </c>
      <c r="B337" s="104">
        <f>+'[1]EXP TOTAL VINO PAIS'!J178/1000</f>
        <v>1.3140000000000001</v>
      </c>
      <c r="C337" s="6">
        <f>+'[1]EXP TOTAL VINO PAIS'!J190/1000</f>
        <v>2.1040000000000001</v>
      </c>
      <c r="D337" s="6">
        <f>+'[1]EXP TOTAL VINO PAIS'!J202/1000</f>
        <v>1.954</v>
      </c>
      <c r="E337" s="6">
        <f>+'[1]EXP TOTAL VINO PAIS'!J214/1000</f>
        <v>1.4259999999999999</v>
      </c>
      <c r="F337" s="6">
        <f>+'[1]EXP TOTAL VINO PAIS'!J226/1000</f>
        <v>0.95499999999999996</v>
      </c>
      <c r="G337" s="6">
        <f>+'[1]EXP TOTAL VINO PAIS'!J238/1000</f>
        <v>0.999</v>
      </c>
      <c r="H337" s="6">
        <f>+'[1]EXP TOTAL VINO PAIS'!J250/1000</f>
        <v>0.754</v>
      </c>
      <c r="I337" s="6">
        <f>+'[1]EXP TOTAL VINO PAIS'!J262/1000</f>
        <v>0.751</v>
      </c>
      <c r="J337" s="105">
        <f>+'[1]EXP TOTAL VINO PAIS'!J274/1000</f>
        <v>0.873</v>
      </c>
      <c r="K337" s="6"/>
      <c r="L337" s="91"/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98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985">+SUM(I330:I337)+SUM(H338:H341)</f>
        <v>10.193999999999999</v>
      </c>
      <c r="W337" s="105">
        <f t="shared" ref="W337" si="986">+SUM(J330:J337)+SUM(I338:I341)</f>
        <v>11.381</v>
      </c>
      <c r="X337" s="105"/>
      <c r="Y337" s="117"/>
      <c r="Z337" s="113"/>
    </row>
    <row r="338" spans="1:26" x14ac:dyDescent="0.25">
      <c r="A338" s="89" t="s">
        <v>6</v>
      </c>
      <c r="B338" s="104">
        <f>+'[1]EXP TOTAL VINO PAIS'!J179/1000</f>
        <v>1.778</v>
      </c>
      <c r="C338" s="6">
        <f>+'[1]EXP TOTAL VINO PAIS'!J191/1000</f>
        <v>2.3010000000000002</v>
      </c>
      <c r="D338" s="6">
        <f>+'[1]EXP TOTAL VINO PAIS'!J203/1000</f>
        <v>1.744</v>
      </c>
      <c r="E338" s="6">
        <f>+'[1]EXP TOTAL VINO PAIS'!J215/1000</f>
        <v>1.077</v>
      </c>
      <c r="F338" s="6">
        <f>+'[1]EXP TOTAL VINO PAIS'!J227/1000</f>
        <v>0.82399999999999995</v>
      </c>
      <c r="G338" s="6">
        <f>+'[1]EXP TOTAL VINO PAIS'!J239/1000</f>
        <v>1.6479999999999999</v>
      </c>
      <c r="H338" s="6">
        <f>+'[1]EXP TOTAL VINO PAIS'!J251/1000</f>
        <v>1.204</v>
      </c>
      <c r="I338" s="6">
        <f>+'[1]EXP TOTAL VINO PAIS'!J263/1000</f>
        <v>1.0129999999999999</v>
      </c>
      <c r="J338" s="105">
        <f>+'[1]EXP TOTAL VINO PAIS'!J275/1000</f>
        <v>1.542</v>
      </c>
      <c r="K338" s="6"/>
      <c r="L338" s="91"/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987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988">+SUM(I330:I338)+SUM(H339:H341)</f>
        <v>10.003</v>
      </c>
      <c r="W338" s="105">
        <f t="shared" ref="W338" si="989">+SUM(J330:J338)+SUM(I339:I341)</f>
        <v>11.91</v>
      </c>
      <c r="X338" s="105"/>
      <c r="Y338" s="117"/>
      <c r="Z338" s="113"/>
    </row>
    <row r="339" spans="1:26" x14ac:dyDescent="0.25">
      <c r="A339" s="89" t="s">
        <v>7</v>
      </c>
      <c r="B339" s="104">
        <f>+'[1]EXP TOTAL VINO PAIS'!J180/1000</f>
        <v>1.508</v>
      </c>
      <c r="C339" s="6">
        <f>+'[1]EXP TOTAL VINO PAIS'!J192/1000</f>
        <v>1.109</v>
      </c>
      <c r="D339" s="6">
        <f>+'[1]EXP TOTAL VINO PAIS'!J204/1000</f>
        <v>0.95699999999999996</v>
      </c>
      <c r="E339" s="6">
        <f>+'[1]EXP TOTAL VINO PAIS'!J216/1000</f>
        <v>1.2050000000000001</v>
      </c>
      <c r="F339" s="6">
        <f>+'[1]EXP TOTAL VINO PAIS'!J228/1000</f>
        <v>1.0649999999999999</v>
      </c>
      <c r="G339" s="6">
        <f>+'[1]EXP TOTAL VINO PAIS'!J240/1000</f>
        <v>0.97199999999999998</v>
      </c>
      <c r="H339" s="6">
        <f>+'[1]EXP TOTAL VINO PAIS'!J252/1000</f>
        <v>1.202</v>
      </c>
      <c r="I339" s="6">
        <f>+'[1]EXP TOTAL VINO PAIS'!J264/1000</f>
        <v>1.649</v>
      </c>
      <c r="J339" s="105">
        <f>+'[1]EXP TOTAL VINO PAIS'!J276/1000</f>
        <v>1.052</v>
      </c>
      <c r="K339" s="6"/>
      <c r="L339" s="91"/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990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991">+SUM(I330:I339)+SUM(H340:H341)</f>
        <v>10.45</v>
      </c>
      <c r="W339" s="105">
        <f t="shared" ref="W339" si="992">+SUM(J330:J339)+SUM(I340:I341)</f>
        <v>11.312999999999999</v>
      </c>
      <c r="X339" s="105"/>
      <c r="Y339" s="117"/>
      <c r="Z339" s="113"/>
    </row>
    <row r="340" spans="1:26" x14ac:dyDescent="0.25">
      <c r="A340" s="89" t="s">
        <v>8</v>
      </c>
      <c r="B340" s="104">
        <f>+'[1]EXP TOTAL VINO PAIS'!J181/1000</f>
        <v>0.56799999999999995</v>
      </c>
      <c r="C340" s="6">
        <f>+'[1]EXP TOTAL VINO PAIS'!J193/1000</f>
        <v>1.153</v>
      </c>
      <c r="D340" s="6">
        <f>+'[1]EXP TOTAL VINO PAIS'!J205/1000</f>
        <v>1.946</v>
      </c>
      <c r="E340" s="6">
        <f>+'[1]EXP TOTAL VINO PAIS'!J217/1000</f>
        <v>0.88100000000000001</v>
      </c>
      <c r="F340" s="6">
        <f>+'[1]EXP TOTAL VINO PAIS'!J229/1000</f>
        <v>1.1379999999999999</v>
      </c>
      <c r="G340" s="6">
        <f>+'[1]EXP TOTAL VINO PAIS'!J241/1000</f>
        <v>1.431</v>
      </c>
      <c r="H340" s="6">
        <f>+'[1]EXP TOTAL VINO PAIS'!J253/1000</f>
        <v>0.83099999999999996</v>
      </c>
      <c r="I340" s="6">
        <f>+'[1]EXP TOTAL VINO PAIS'!J265/1000</f>
        <v>1.337</v>
      </c>
      <c r="J340" s="105">
        <f>+'[1]EXP TOTAL VINO PAIS'!J277/1000</f>
        <v>1.085</v>
      </c>
      <c r="K340" s="6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993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994">+SUM(I330:I340)+SUM(H341)</f>
        <v>10.956</v>
      </c>
      <c r="W340" s="105">
        <f t="shared" ref="W340" si="995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104">
        <f>+'[1]EXP TOTAL VINO PAIS'!J182/1000</f>
        <v>1.3460000000000001</v>
      </c>
      <c r="C341" s="6">
        <f>+'[1]EXP TOTAL VINO PAIS'!J194/1000</f>
        <v>1.0880000000000001</v>
      </c>
      <c r="D341" s="6">
        <f>+'[1]EXP TOTAL VINO PAIS'!J206/1000</f>
        <v>1.1539999999999999</v>
      </c>
      <c r="E341" s="6">
        <f>+'[1]EXP TOTAL VINO PAIS'!J218/1000</f>
        <v>0.91100000000000003</v>
      </c>
      <c r="F341" s="6">
        <f>+'[1]EXP TOTAL VINO PAIS'!J230/1000</f>
        <v>0.83</v>
      </c>
      <c r="G341" s="6">
        <f>+'[1]EXP TOTAL VINO PAIS'!J242/1000</f>
        <v>1.2749999999999999</v>
      </c>
      <c r="H341" s="6">
        <f>+'[1]EXP TOTAL VINO PAIS'!J254/1000</f>
        <v>0.64700000000000002</v>
      </c>
      <c r="I341" s="6">
        <f>+'[1]EXP TOTAL VINO PAIS'!J266/1000</f>
        <v>1.4079999999999999</v>
      </c>
      <c r="J341" s="105">
        <f>+'[1]EXP TOTAL VINO PAIS'!J278/1000</f>
        <v>0.94099999999999995</v>
      </c>
      <c r="K341" s="6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996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997">+SUM(I330:I341)</f>
        <v>11.716999999999999</v>
      </c>
      <c r="W341" s="105">
        <f t="shared" ref="W341" si="998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106">
        <f>SUM(B330:B341)</f>
        <v>14.674999999999999</v>
      </c>
      <c r="C342" s="83">
        <f t="shared" ref="C342:F342" si="999">SUM(C330:C341)</f>
        <v>16.402999999999999</v>
      </c>
      <c r="D342" s="83">
        <f t="shared" si="999"/>
        <v>16.618000000000002</v>
      </c>
      <c r="E342" s="83">
        <f t="shared" si="999"/>
        <v>12.704000000000001</v>
      </c>
      <c r="F342" s="83">
        <f t="shared" si="999"/>
        <v>11.519</v>
      </c>
      <c r="G342" s="83">
        <f t="shared" ref="G342" si="1000">SUM(G330:G341)</f>
        <v>15.180000000000001</v>
      </c>
      <c r="H342" s="83">
        <f t="shared" ref="H342:I342" si="1001">SUM(H330:H341)</f>
        <v>10.941000000000001</v>
      </c>
      <c r="I342" s="83">
        <f t="shared" si="1001"/>
        <v>11.716999999999999</v>
      </c>
      <c r="J342" s="107">
        <f t="shared" ref="J342" si="1002">SUM(J330:J341)</f>
        <v>10.593999999999999</v>
      </c>
      <c r="K342" s="83"/>
      <c r="L342" s="94"/>
      <c r="M342" s="3"/>
      <c r="N342" s="92" t="s">
        <v>14</v>
      </c>
      <c r="O342" s="106">
        <f t="shared" ref="O342" si="1003">+AVERAGE(O330:O341)</f>
        <v>15.152166666666668</v>
      </c>
      <c r="P342" s="83">
        <f>+AVERAGE(P330:P341)</f>
        <v>15.597499999999998</v>
      </c>
      <c r="Q342" s="83">
        <f t="shared" ref="Q342:W342" si="1004">+AVERAGE(Q330:Q341)</f>
        <v>16.394083333333331</v>
      </c>
      <c r="R342" s="83">
        <f t="shared" si="1004"/>
        <v>14.558250000000001</v>
      </c>
      <c r="S342" s="83">
        <f t="shared" si="1004"/>
        <v>12.112250000000001</v>
      </c>
      <c r="T342" s="83">
        <f t="shared" si="1004"/>
        <v>13.785583333333335</v>
      </c>
      <c r="U342" s="83">
        <f t="shared" si="1004"/>
        <v>12.814666666666668</v>
      </c>
      <c r="V342" s="83">
        <f t="shared" si="1004"/>
        <v>10.668416666666667</v>
      </c>
      <c r="W342" s="107">
        <f t="shared" si="1004"/>
        <v>11.169749999999999</v>
      </c>
      <c r="X342" s="107">
        <f t="shared" ref="X342" si="1005">+AVERAGE(X330:X341)</f>
        <v>10.513</v>
      </c>
      <c r="Y342" s="119">
        <f>+X342/W342-1</f>
        <v>-5.8797197788670208E-2</v>
      </c>
      <c r="Z342" s="173">
        <f>+POWER(X342/S342,0.2)-1</f>
        <v>-2.7923671279954432E-2</v>
      </c>
    </row>
    <row r="343" spans="1:26" ht="25.5" x14ac:dyDescent="0.25">
      <c r="A343" s="95" t="s">
        <v>15</v>
      </c>
      <c r="B343" s="108">
        <f t="shared" ref="B343:G343" si="1006">+B342/B$360</f>
        <v>1.7965882574746638E-2</v>
      </c>
      <c r="C343" s="84">
        <f t="shared" si="1006"/>
        <v>2.0352985261674145E-2</v>
      </c>
      <c r="D343" s="84">
        <f t="shared" si="1006"/>
        <v>2.0161114211535196E-2</v>
      </c>
      <c r="E343" s="84">
        <f t="shared" si="1006"/>
        <v>1.595791451763234E-2</v>
      </c>
      <c r="F343" s="84">
        <f t="shared" si="1006"/>
        <v>1.4764465818319781E-2</v>
      </c>
      <c r="G343" s="84">
        <f t="shared" si="1006"/>
        <v>1.8368561927948772E-2</v>
      </c>
      <c r="H343" s="84">
        <f t="shared" ref="H343:I343" si="1007">+H342/H$360</f>
        <v>1.3892627676054552E-2</v>
      </c>
      <c r="I343" s="84">
        <f t="shared" si="1007"/>
        <v>1.7965430690420225E-2</v>
      </c>
      <c r="J343" s="109">
        <f t="shared" ref="J343" si="1008">+J342/J$360</f>
        <v>1.5551624670625281E-2</v>
      </c>
      <c r="K343" s="84"/>
      <c r="L343" s="97"/>
      <c r="M343" s="3"/>
      <c r="N343" s="95" t="s">
        <v>15</v>
      </c>
      <c r="O343" s="108">
        <f t="shared" ref="O343:W343" si="1009">+O342/O$360</f>
        <v>1.8825432027441032E-2</v>
      </c>
      <c r="P343" s="84">
        <f t="shared" si="1009"/>
        <v>1.9242890889405659E-2</v>
      </c>
      <c r="Q343" s="84">
        <f t="shared" si="1009"/>
        <v>2.023735421248846E-2</v>
      </c>
      <c r="R343" s="84">
        <f t="shared" si="1009"/>
        <v>1.781889735991176E-2</v>
      </c>
      <c r="S343" s="84">
        <f t="shared" si="1009"/>
        <v>1.5407082931143812E-2</v>
      </c>
      <c r="T343" s="84">
        <f t="shared" si="1009"/>
        <v>1.7191968441778522E-2</v>
      </c>
      <c r="U343" s="84">
        <f t="shared" si="1009"/>
        <v>1.5657015091319691E-2</v>
      </c>
      <c r="V343" s="84">
        <f t="shared" si="1009"/>
        <v>1.4976099492370108E-2</v>
      </c>
      <c r="W343" s="109">
        <f t="shared" si="1009"/>
        <v>1.7078053445667412E-2</v>
      </c>
      <c r="X343" s="109">
        <f t="shared" ref="X343" si="1010">+X342/X$360</f>
        <v>1.5505869211663302E-2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011">+D342/C342-1</f>
        <v>1.3107358410047176E-2</v>
      </c>
      <c r="E344" s="85">
        <f t="shared" ref="E344" si="1012">+E342/D342-1</f>
        <v>-0.23552774100373097</v>
      </c>
      <c r="F344" s="85">
        <f t="shared" ref="F344:J344" si="1013">+F342/E342-1</f>
        <v>-9.3277707808564259E-2</v>
      </c>
      <c r="G344" s="85">
        <f t="shared" si="1013"/>
        <v>0.31782272766733244</v>
      </c>
      <c r="H344" s="85">
        <f t="shared" si="1013"/>
        <v>-0.27924901185770756</v>
      </c>
      <c r="I344" s="85">
        <f t="shared" si="1013"/>
        <v>7.0925875148523776E-2</v>
      </c>
      <c r="J344" s="111">
        <f t="shared" si="1013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014">+Q342/P342-1</f>
        <v>5.1071218678206964E-2</v>
      </c>
      <c r="R344" s="85">
        <f t="shared" ref="R344" si="1015">+R342/Q342-1</f>
        <v>-0.11198145672473281</v>
      </c>
      <c r="S344" s="85">
        <f t="shared" ref="S344" si="1016">+S342/R342-1</f>
        <v>-0.16801469956897286</v>
      </c>
      <c r="T344" s="85">
        <f t="shared" ref="T344" si="1017">+T342/S342-1</f>
        <v>0.13815214624312855</v>
      </c>
      <c r="U344" s="85">
        <f t="shared" ref="U344" si="1018">+U342/T342-1</f>
        <v>-7.0429857278437091E-2</v>
      </c>
      <c r="V344" s="85">
        <f t="shared" ref="V344" si="1019">+V342/U342-1</f>
        <v>-0.16748387264592657</v>
      </c>
      <c r="W344" s="111">
        <f t="shared" ref="W344:X344" si="1020">+W342/V342-1</f>
        <v>4.6992290327368069E-2</v>
      </c>
      <c r="X344" s="111">
        <f t="shared" si="1020"/>
        <v>-5.8797197788670208E-2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53" t="s">
        <v>80</v>
      </c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5"/>
      <c r="M346" s="2"/>
      <c r="N346" s="353" t="s">
        <v>81</v>
      </c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  <c r="Y346" s="354"/>
      <c r="Z346" s="355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021">+C347+1</f>
        <v>2018</v>
      </c>
      <c r="E347" s="82">
        <f t="shared" si="1021"/>
        <v>2019</v>
      </c>
      <c r="F347" s="82">
        <f t="shared" si="1021"/>
        <v>2020</v>
      </c>
      <c r="G347" s="82">
        <f t="shared" si="1021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022">+P347+1</f>
        <v>2018</v>
      </c>
      <c r="R347" s="82">
        <f t="shared" ref="R347" si="1023">+Q347+1</f>
        <v>2019</v>
      </c>
      <c r="S347" s="82">
        <f t="shared" ref="S347" si="1024">+R347+1</f>
        <v>2020</v>
      </c>
      <c r="T347" s="82">
        <f t="shared" ref="T347" si="1025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026">+SUM(D348)+SUM(C349:C359)</f>
        <v>804.14900000000011</v>
      </c>
      <c r="R348" s="6">
        <f t="shared" ref="R348:X348" si="1027">+SUM(E348)+SUM(D349:D359)</f>
        <v>820.02800000000002</v>
      </c>
      <c r="S348" s="6">
        <f t="shared" si="1027"/>
        <v>797.82400000000007</v>
      </c>
      <c r="T348" s="6">
        <f t="shared" si="1027"/>
        <v>780.97699999999998</v>
      </c>
      <c r="U348" s="6">
        <f t="shared" si="1027"/>
        <v>811.57800000000009</v>
      </c>
      <c r="V348" s="6">
        <f t="shared" si="1027"/>
        <v>799.00699999999995</v>
      </c>
      <c r="W348" s="105">
        <f t="shared" si="1027"/>
        <v>642.02599999999995</v>
      </c>
      <c r="X348" s="105">
        <f t="shared" si="1027"/>
        <v>676.3119999999999</v>
      </c>
      <c r="Y348" s="117">
        <f>+X348/W348-1</f>
        <v>5.3402821692579261E-2</v>
      </c>
      <c r="Z348" s="113">
        <f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>+K349/J349-1</f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028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029">+SUM(J348:J349)+SUM(I350:I359)</f>
        <v>638.1579999999999</v>
      </c>
      <c r="X349" s="105">
        <f t="shared" ref="X349" si="1030">+SUM(K348:K349)+SUM(J350:J359)</f>
        <v>678.16600000000005</v>
      </c>
      <c r="Y349" s="117">
        <f>+X349/W349-1</f>
        <v>6.2692938112505203E-2</v>
      </c>
      <c r="Z349" s="113">
        <f>+POWER(X349/S349,0.2)-1</f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58.11</v>
      </c>
      <c r="L350" s="91">
        <f>+K350/J350-1</f>
        <v>2.3964757709250994E-2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031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032">+SUM(I348:I350)+SUM(H351:H359)</f>
        <v>768.10599999999999</v>
      </c>
      <c r="W350" s="105">
        <f t="shared" ref="W350" si="1033">+SUM(J348:J350)+SUM(I351:I359)</f>
        <v>638.83500000000004</v>
      </c>
      <c r="X350" s="105">
        <f t="shared" ref="X350" si="1034">+SUM(K348:K350)+SUM(J351:J359)</f>
        <v>679.52599999999995</v>
      </c>
      <c r="Y350" s="117">
        <f>+X350/W350-1</f>
        <v>6.3695633457778511E-2</v>
      </c>
      <c r="Z350" s="113">
        <f>+POWER(X350/S350,0.2)-1</f>
        <v>-3.1246643185146139E-2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/>
      <c r="L351" s="91"/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035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036">+SUM(I348:I351)+SUM(H352:H359)</f>
        <v>758.88600000000008</v>
      </c>
      <c r="W351" s="67">
        <f t="shared" ref="W351" si="1037">+SUM(J348:J351)+SUM(I352:I359)</f>
        <v>634.64099999999996</v>
      </c>
      <c r="X351" s="37"/>
      <c r="Y351" s="78"/>
      <c r="Z351" s="7"/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/>
      <c r="L352" s="91"/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038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039">+SUM(I348:I352)+SUM(H353:H359)</f>
        <v>727.90100000000007</v>
      </c>
      <c r="W352" s="105">
        <f t="shared" ref="W352" si="1040">+SUM(J348:J352)+SUM(I353:I359)</f>
        <v>642.26299999999992</v>
      </c>
      <c r="X352" s="105"/>
      <c r="Y352" s="117"/>
      <c r="Z352" s="113"/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/>
      <c r="L353" s="91"/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041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042">+SUM(I348:I353)+SUM(H354:H359)</f>
        <v>706.99500000000012</v>
      </c>
      <c r="W353" s="105">
        <f t="shared" ref="W353" si="1043">+SUM(J348:J353)+SUM(I354:I359)</f>
        <v>631.05199999999991</v>
      </c>
      <c r="X353" s="105"/>
      <c r="Y353" s="117"/>
      <c r="Z353" s="113"/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/>
      <c r="L354" s="91"/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044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045">+SUM(I348:I354)+SUM(H355:H359)</f>
        <v>713.12900000000002</v>
      </c>
      <c r="W354" s="105">
        <f t="shared" ref="W354" si="1046">+SUM(J348:J354)+SUM(I355:I359)</f>
        <v>652.98599999999988</v>
      </c>
      <c r="X354" s="105"/>
      <c r="Y354" s="117"/>
      <c r="Z354" s="113"/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/>
      <c r="L355" s="91"/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047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048">+SUM(I348:I355)+SUM(H356:H359)</f>
        <v>676.61700000000008</v>
      </c>
      <c r="W355" s="105">
        <f t="shared" ref="W355" si="1049">+SUM(J348:J355)+SUM(I356:I359)</f>
        <v>669.81699999999989</v>
      </c>
      <c r="X355" s="105"/>
      <c r="Y355" s="117"/>
      <c r="Z355" s="113"/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/>
      <c r="L356" s="91"/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050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051">+SUM(I348:I356)+SUM(H357:H359)</f>
        <v>663.54500000000007</v>
      </c>
      <c r="W356" s="105">
        <f t="shared" ref="W356" si="1052">+SUM(J348:J356)+SUM(I357:I359)</f>
        <v>671.37099999999987</v>
      </c>
      <c r="X356" s="105"/>
      <c r="Y356" s="117"/>
      <c r="Z356" s="113"/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/>
      <c r="L357" s="91"/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053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054">+SUM(I348:I357)+SUM(H358:H359)</f>
        <v>652.96500000000003</v>
      </c>
      <c r="W357" s="105">
        <f t="shared" ref="W357" si="1055">+SUM(J348:J357)+SUM(I358:I359)</f>
        <v>670.60599999999988</v>
      </c>
      <c r="X357" s="105"/>
      <c r="Y357" s="117"/>
      <c r="Z357" s="113"/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056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057">+SUM(I348:I358)+SUM(H359)</f>
        <v>652.471</v>
      </c>
      <c r="W358" s="105">
        <f t="shared" ref="W358" si="1058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059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060">+SUM(I348:I359)</f>
        <v>652.197</v>
      </c>
      <c r="W359" s="105">
        <f t="shared" ref="W359" si="1061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062">SUM(C348:C359)</f>
        <v>805.92600000000004</v>
      </c>
      <c r="D360" s="83">
        <f t="shared" si="1062"/>
        <v>824.26</v>
      </c>
      <c r="E360" s="83">
        <f t="shared" si="1062"/>
        <v>796.09400000000005</v>
      </c>
      <c r="F360" s="83">
        <f t="shared" si="1062"/>
        <v>780.18399999999997</v>
      </c>
      <c r="G360" s="83">
        <f t="shared" ref="G360:H360" si="1063">SUM(G348:G359)</f>
        <v>826.41200000000003</v>
      </c>
      <c r="H360" s="83">
        <f t="shared" si="1063"/>
        <v>787.54</v>
      </c>
      <c r="I360" s="83">
        <f t="shared" ref="I360:J360" si="1064">SUM(I348:I359)</f>
        <v>652.197</v>
      </c>
      <c r="J360" s="107">
        <f t="shared" si="1064"/>
        <v>681.21499999999992</v>
      </c>
      <c r="K360" s="83"/>
      <c r="L360" s="94"/>
      <c r="M360" s="3"/>
      <c r="N360" s="92" t="s">
        <v>14</v>
      </c>
      <c r="O360" s="106">
        <f t="shared" ref="O360" si="1065">+AVERAGE(O348:O359)</f>
        <v>804.87749999999994</v>
      </c>
      <c r="P360" s="83">
        <f>+AVERAGE(P348:P359)</f>
        <v>810.55908333333321</v>
      </c>
      <c r="Q360" s="83">
        <f t="shared" ref="Q360:X360" si="1066">+AVERAGE(Q348:Q359)</f>
        <v>810.09025000000008</v>
      </c>
      <c r="R360" s="83">
        <f t="shared" si="1066"/>
        <v>817.01183333333336</v>
      </c>
      <c r="S360" s="83">
        <f t="shared" si="1066"/>
        <v>786.14816666666673</v>
      </c>
      <c r="T360" s="83">
        <f t="shared" si="1066"/>
        <v>801.86183333333327</v>
      </c>
      <c r="U360" s="83">
        <f t="shared" si="1066"/>
        <v>818.4616666666667</v>
      </c>
      <c r="V360" s="83">
        <f t="shared" si="1066"/>
        <v>712.36283333333347</v>
      </c>
      <c r="W360" s="107">
        <f t="shared" si="1066"/>
        <v>654.04116666666653</v>
      </c>
      <c r="X360" s="107">
        <f t="shared" si="1066"/>
        <v>678.00133333333326</v>
      </c>
      <c r="Y360" s="119">
        <f>+X360/W360-1</f>
        <v>3.6634034503944424E-2</v>
      </c>
      <c r="Z360" s="173">
        <f>+POWER(X360/S360,0.2)-1</f>
        <v>-2.9165439238433954E-2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067">+D360/C360-1</f>
        <v>2.2748986879688626E-2</v>
      </c>
      <c r="E361" s="85">
        <f t="shared" si="1067"/>
        <v>-3.4171256642321568E-2</v>
      </c>
      <c r="F361" s="85">
        <f t="shared" si="1067"/>
        <v>-1.998507713913189E-2</v>
      </c>
      <c r="G361" s="85">
        <f t="shared" si="1067"/>
        <v>5.9252689109235757E-2</v>
      </c>
      <c r="H361" s="85">
        <f t="shared" si="1067"/>
        <v>-4.7037071097709271E-2</v>
      </c>
      <c r="I361" s="85">
        <f t="shared" si="1067"/>
        <v>-0.17185539782106296</v>
      </c>
      <c r="J361" s="111">
        <f t="shared" si="1067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068">+Q360/P360-1</f>
        <v>-5.7840735237346674E-4</v>
      </c>
      <c r="R361" s="85">
        <f t="shared" si="1068"/>
        <v>8.544212614993496E-3</v>
      </c>
      <c r="S361" s="85">
        <f t="shared" si="1068"/>
        <v>-3.7776278638151028E-2</v>
      </c>
      <c r="T361" s="85">
        <f t="shared" si="1068"/>
        <v>1.9988174409022452E-2</v>
      </c>
      <c r="U361" s="85">
        <f t="shared" si="1068"/>
        <v>2.0701612975302819E-2</v>
      </c>
      <c r="V361" s="85">
        <f t="shared" si="1068"/>
        <v>-0.12963201290225346</v>
      </c>
      <c r="W361" s="111">
        <f t="shared" si="1068"/>
        <v>-8.1870732073098917E-2</v>
      </c>
      <c r="X361" s="111">
        <f t="shared" si="1068"/>
        <v>3.6634034503944424E-2</v>
      </c>
      <c r="Y361" s="99"/>
      <c r="Z361" s="115"/>
    </row>
    <row r="362" spans="1:26" ht="15.75" thickBot="1" x14ac:dyDescent="0.3"/>
    <row r="363" spans="1:26" ht="15.75" thickBot="1" x14ac:dyDescent="0.3">
      <c r="A363" s="347" t="s">
        <v>137</v>
      </c>
      <c r="B363" s="348"/>
      <c r="C363" s="348"/>
      <c r="D363" s="348"/>
      <c r="E363" s="348"/>
      <c r="F363" s="348"/>
      <c r="G363" s="348"/>
      <c r="H363" s="348"/>
      <c r="I363" s="348"/>
      <c r="J363" s="348"/>
      <c r="K363" s="348"/>
      <c r="L363" s="349"/>
      <c r="M363" s="2"/>
      <c r="N363" s="347" t="s">
        <v>138</v>
      </c>
      <c r="O363" s="348"/>
      <c r="P363" s="348"/>
      <c r="Q363" s="348"/>
      <c r="R363" s="348"/>
      <c r="S363" s="348"/>
      <c r="T363" s="348"/>
      <c r="U363" s="348"/>
      <c r="V363" s="348"/>
      <c r="W363" s="348"/>
      <c r="X363" s="348"/>
      <c r="Y363" s="348"/>
      <c r="Z363" s="34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069">+C364+1</f>
        <v>2018</v>
      </c>
      <c r="E364" s="129">
        <f t="shared" si="1069"/>
        <v>2019</v>
      </c>
      <c r="F364" s="129">
        <f t="shared" si="1069"/>
        <v>2020</v>
      </c>
      <c r="G364" s="129">
        <f t="shared" si="1069"/>
        <v>2021</v>
      </c>
      <c r="H364" s="129">
        <f t="shared" si="1069"/>
        <v>2022</v>
      </c>
      <c r="I364" s="129">
        <f t="shared" si="1069"/>
        <v>2023</v>
      </c>
      <c r="J364" s="130">
        <f t="shared" si="1069"/>
        <v>2024</v>
      </c>
      <c r="K364" s="130">
        <f t="shared" si="1069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070">+P364+1</f>
        <v>2018</v>
      </c>
      <c r="R364" s="129">
        <f t="shared" si="1070"/>
        <v>2019</v>
      </c>
      <c r="S364" s="129">
        <f t="shared" si="1070"/>
        <v>2020</v>
      </c>
      <c r="T364" s="129">
        <f t="shared" si="1070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071">+B186/B7</f>
        <v>3.1172102117421248</v>
      </c>
      <c r="C365" s="158">
        <f t="shared" si="1071"/>
        <v>3.4315154149968747</v>
      </c>
      <c r="D365" s="158">
        <f t="shared" si="1071"/>
        <v>4.6406014070739472</v>
      </c>
      <c r="E365" s="158">
        <f t="shared" si="1071"/>
        <v>2.3100996759205237</v>
      </c>
      <c r="F365" s="158">
        <f t="shared" si="1071"/>
        <v>4.126903072844061</v>
      </c>
      <c r="G365" s="158">
        <f t="shared" si="1071"/>
        <v>3.6709237135925257</v>
      </c>
      <c r="H365" s="158">
        <f t="shared" ref="H365:I365" si="1072">+H186/H7</f>
        <v>2.7790540415559044</v>
      </c>
      <c r="I365" s="158">
        <f t="shared" si="1072"/>
        <v>4.2753135713385255</v>
      </c>
      <c r="J365" s="180">
        <f t="shared" ref="J365:K376" si="1073">+J186/J7</f>
        <v>3.9574994267108865</v>
      </c>
      <c r="K365" s="180">
        <f t="shared" si="1073"/>
        <v>3.3521505417547361</v>
      </c>
      <c r="L365" s="127">
        <f>+K365/J365-1</f>
        <v>-0.15296246939933511</v>
      </c>
      <c r="M365" s="2"/>
      <c r="N365" s="133" t="s">
        <v>10</v>
      </c>
      <c r="O365" s="158">
        <f t="shared" ref="O365:T370" si="1074">+O186/O7</f>
        <v>3.1379365500967795</v>
      </c>
      <c r="P365" s="158">
        <f t="shared" si="1074"/>
        <v>3.9910933405119691</v>
      </c>
      <c r="Q365" s="158">
        <f t="shared" si="1074"/>
        <v>4.4444241672988403</v>
      </c>
      <c r="R365" s="158">
        <f t="shared" si="1074"/>
        <v>4.0206382290467184</v>
      </c>
      <c r="S365" s="158">
        <f t="shared" si="1074"/>
        <v>3.8515049853193828</v>
      </c>
      <c r="T365" s="158">
        <f t="shared" si="1074"/>
        <v>3.6701086884924519</v>
      </c>
      <c r="U365" s="158">
        <f t="shared" ref="U365:X367" si="1075">+U186/U7</f>
        <v>3.5046432187123218</v>
      </c>
      <c r="V365" s="158">
        <f t="shared" si="1075"/>
        <v>3.6526208595320626</v>
      </c>
      <c r="W365" s="180">
        <f t="shared" si="1075"/>
        <v>4.2136920981102568</v>
      </c>
      <c r="X365" s="180">
        <f t="shared" si="1075"/>
        <v>4.2868756003635848</v>
      </c>
      <c r="Y365" s="147">
        <f>+X365/W365-1</f>
        <v>1.7368023232202656E-2</v>
      </c>
      <c r="Z365" s="127">
        <f>+POWER(X365/S365,0.2)-1</f>
        <v>2.1649868259866256E-2</v>
      </c>
    </row>
    <row r="366" spans="1:26" x14ac:dyDescent="0.25">
      <c r="A366" s="133" t="s">
        <v>11</v>
      </c>
      <c r="B366" s="158">
        <f t="shared" si="1071"/>
        <v>3.0170014018163931</v>
      </c>
      <c r="C366" s="158">
        <f t="shared" si="1071"/>
        <v>4.0283004628907699</v>
      </c>
      <c r="D366" s="158">
        <f t="shared" si="1071"/>
        <v>4.1005771919638088</v>
      </c>
      <c r="E366" s="158">
        <f t="shared" si="1071"/>
        <v>2.7774237056400706</v>
      </c>
      <c r="F366" s="158">
        <f t="shared" si="1071"/>
        <v>4.187302512157407</v>
      </c>
      <c r="G366" s="158">
        <f t="shared" si="1071"/>
        <v>3.8467220111738216</v>
      </c>
      <c r="H366" s="158">
        <f t="shared" ref="H366:I370" si="1076">+H187/H8</f>
        <v>3.4328980345950502</v>
      </c>
      <c r="I366" s="158">
        <f t="shared" si="1076"/>
        <v>4.1605867964775367</v>
      </c>
      <c r="J366" s="180">
        <f t="shared" si="1073"/>
        <v>4.3119233731782201</v>
      </c>
      <c r="K366" s="180">
        <f t="shared" si="1073"/>
        <v>3.7473649108582165</v>
      </c>
      <c r="L366" s="127">
        <f>+K366/J366-1</f>
        <v>-0.1309296138775955</v>
      </c>
      <c r="M366" s="2"/>
      <c r="N366" s="133" t="s">
        <v>11</v>
      </c>
      <c r="O366" s="158">
        <f t="shared" si="1074"/>
        <v>3.2051702717457951</v>
      </c>
      <c r="P366" s="158">
        <f t="shared" si="1074"/>
        <v>4.0890319748556063</v>
      </c>
      <c r="Q366" s="158">
        <f t="shared" si="1074"/>
        <v>4.4491937622553968</v>
      </c>
      <c r="R366" s="158">
        <f t="shared" si="1074"/>
        <v>3.8796606170757499</v>
      </c>
      <c r="S366" s="158">
        <f t="shared" si="1074"/>
        <v>4.0044535781358936</v>
      </c>
      <c r="T366" s="158">
        <f t="shared" si="1074"/>
        <v>3.6456666744711792</v>
      </c>
      <c r="U366" s="158">
        <f t="shared" ref="U366:W371" si="1077">+U187/U8</f>
        <v>3.4760689055006622</v>
      </c>
      <c r="V366" s="158">
        <f t="shared" si="1077"/>
        <v>3.7008833762025786</v>
      </c>
      <c r="W366" s="180">
        <f t="shared" si="1077"/>
        <v>4.2250464618976045</v>
      </c>
      <c r="X366" s="180">
        <f t="shared" si="1075"/>
        <v>4.239524393443844</v>
      </c>
      <c r="Y366" s="147">
        <f>+X366/W366-1</f>
        <v>3.4266916770748779E-3</v>
      </c>
      <c r="Z366" s="127">
        <f>+POWER(X366/S366,0.2)-1</f>
        <v>1.1474119520889836E-2</v>
      </c>
    </row>
    <row r="367" spans="1:26" x14ac:dyDescent="0.25">
      <c r="A367" s="133" t="s">
        <v>0</v>
      </c>
      <c r="B367" s="158">
        <f t="shared" si="1071"/>
        <v>5.6023773642837673</v>
      </c>
      <c r="C367" s="158">
        <f t="shared" si="1071"/>
        <v>4.2178451484070081</v>
      </c>
      <c r="D367" s="158">
        <f t="shared" si="1071"/>
        <v>4.6740893609472893</v>
      </c>
      <c r="E367" s="158">
        <f t="shared" si="1071"/>
        <v>4.1855987760080389</v>
      </c>
      <c r="F367" s="158">
        <f t="shared" si="1071"/>
        <v>4.4005550775792424</v>
      </c>
      <c r="G367" s="158">
        <f t="shared" si="1071"/>
        <v>3.46752734565188</v>
      </c>
      <c r="H367" s="158">
        <f t="shared" ref="H367" si="1078">+H188/H9</f>
        <v>3.2889724332156947</v>
      </c>
      <c r="I367" s="158">
        <f t="shared" si="1076"/>
        <v>4.4570163974640398</v>
      </c>
      <c r="J367" s="180">
        <f t="shared" si="1073"/>
        <v>4.4979669602629073</v>
      </c>
      <c r="K367" s="180">
        <f t="shared" si="1073"/>
        <v>6.0023815568403718</v>
      </c>
      <c r="L367" s="127">
        <f>+K367/J367-1</f>
        <v>0.33446546181155834</v>
      </c>
      <c r="M367" s="2"/>
      <c r="N367" s="133" t="s">
        <v>0</v>
      </c>
      <c r="O367" s="158">
        <f t="shared" si="1074"/>
        <v>3.4153817225140508</v>
      </c>
      <c r="P367" s="158">
        <f t="shared" si="1074"/>
        <v>3.9646101810227545</v>
      </c>
      <c r="Q367" s="158">
        <f t="shared" si="1074"/>
        <v>4.4891456654644326</v>
      </c>
      <c r="R367" s="158">
        <f t="shared" si="1074"/>
        <v>3.8456914413284089</v>
      </c>
      <c r="S367" s="158">
        <f t="shared" si="1074"/>
        <v>4.0196518019471528</v>
      </c>
      <c r="T367" s="158">
        <f t="shared" si="1074"/>
        <v>3.5735729429862166</v>
      </c>
      <c r="U367" s="158">
        <f t="shared" ref="U367" si="1079">+U188/U9</f>
        <v>3.4607994987436177</v>
      </c>
      <c r="V367" s="158">
        <f t="shared" si="1077"/>
        <v>3.7892069517239042</v>
      </c>
      <c r="W367" s="180">
        <f t="shared" si="1077"/>
        <v>4.232301107673849</v>
      </c>
      <c r="X367" s="180">
        <f t="shared" si="1075"/>
        <v>4.3557551387036888</v>
      </c>
      <c r="Y367" s="147">
        <f>+X367/W367-1</f>
        <v>2.9169482012042502E-2</v>
      </c>
      <c r="Z367" s="127">
        <f>+POWER(X367/S367,0.2)-1</f>
        <v>1.6190205451468209E-2</v>
      </c>
    </row>
    <row r="368" spans="1:26" x14ac:dyDescent="0.25">
      <c r="A368" s="133" t="s">
        <v>1</v>
      </c>
      <c r="B368" s="158">
        <f t="shared" si="1071"/>
        <v>4.7752046863377338</v>
      </c>
      <c r="C368" s="158">
        <f t="shared" si="1071"/>
        <v>4.599217044322562</v>
      </c>
      <c r="D368" s="158">
        <f t="shared" si="1071"/>
        <v>4.523450135516728</v>
      </c>
      <c r="E368" s="158">
        <f t="shared" si="1071"/>
        <v>4.438430859824356</v>
      </c>
      <c r="F368" s="158">
        <f t="shared" si="1071"/>
        <v>4.1146523994642807</v>
      </c>
      <c r="G368" s="158">
        <f t="shared" si="1071"/>
        <v>3.7411768357416593</v>
      </c>
      <c r="H368" s="158">
        <f t="shared" ref="H368" si="1080">+H189/H10</f>
        <v>2.6744685618023167</v>
      </c>
      <c r="I368" s="158">
        <f t="shared" si="1076"/>
        <v>4.7786474601019497</v>
      </c>
      <c r="J368" s="180">
        <f t="shared" si="1073"/>
        <v>4.6055072717560162</v>
      </c>
      <c r="K368" s="180"/>
      <c r="L368" s="127"/>
      <c r="M368" s="2"/>
      <c r="N368" s="133" t="s">
        <v>1</v>
      </c>
      <c r="O368" s="158">
        <f t="shared" si="1074"/>
        <v>3.5704770306291804</v>
      </c>
      <c r="P368" s="158">
        <f t="shared" si="1074"/>
        <v>3.9333230578613936</v>
      </c>
      <c r="Q368" s="158">
        <f t="shared" si="1074"/>
        <v>4.483158786066368</v>
      </c>
      <c r="R368" s="158">
        <f t="shared" si="1074"/>
        <v>3.8454665117049482</v>
      </c>
      <c r="S368" s="158">
        <f t="shared" si="1074"/>
        <v>3.9936699482847433</v>
      </c>
      <c r="T368" s="158">
        <f t="shared" si="1074"/>
        <v>3.5395525864410167</v>
      </c>
      <c r="U368" s="158">
        <f t="shared" ref="U368" si="1081">+U189/U10</f>
        <v>3.3577599666626785</v>
      </c>
      <c r="V368" s="158">
        <f t="shared" si="1077"/>
        <v>4.0099179357187156</v>
      </c>
      <c r="W368" s="180">
        <f t="shared" ref="W368" si="1082">+W189/W10</f>
        <v>4.2198193360639644</v>
      </c>
      <c r="X368" s="180"/>
      <c r="Y368" s="147"/>
      <c r="Z368" s="127"/>
    </row>
    <row r="369" spans="1:26" x14ac:dyDescent="0.25">
      <c r="A369" s="133" t="s">
        <v>2</v>
      </c>
      <c r="B369" s="158">
        <f t="shared" si="1071"/>
        <v>3.9707158888590564</v>
      </c>
      <c r="C369" s="158">
        <f t="shared" si="1071"/>
        <v>4.6748260540063402</v>
      </c>
      <c r="D369" s="158">
        <f t="shared" si="1071"/>
        <v>4.5983425798367161</v>
      </c>
      <c r="E369" s="158">
        <f t="shared" si="1071"/>
        <v>4.73121706440529</v>
      </c>
      <c r="F369" s="158">
        <f t="shared" si="1071"/>
        <v>3.6223107217350923</v>
      </c>
      <c r="G369" s="158">
        <f t="shared" si="1071"/>
        <v>3.5179684955969628</v>
      </c>
      <c r="H369" s="158">
        <f t="shared" ref="H369:I377" si="1083">+H190/H11</f>
        <v>3.5923472441772835</v>
      </c>
      <c r="I369" s="158">
        <f t="shared" si="1076"/>
        <v>4.3094878661110814</v>
      </c>
      <c r="J369" s="180">
        <f t="shared" si="1073"/>
        <v>4.5966748426471975</v>
      </c>
      <c r="K369" s="180"/>
      <c r="L369" s="127"/>
      <c r="M369" s="2"/>
      <c r="N369" s="133" t="s">
        <v>2</v>
      </c>
      <c r="O369" s="158">
        <f t="shared" si="1074"/>
        <v>3.6281050494022908</v>
      </c>
      <c r="P369" s="158">
        <f t="shared" si="1074"/>
        <v>3.9791347752885522</v>
      </c>
      <c r="Q369" s="158">
        <f t="shared" si="1074"/>
        <v>4.4781258442516902</v>
      </c>
      <c r="R369" s="158">
        <f t="shared" si="1074"/>
        <v>3.8581445766849316</v>
      </c>
      <c r="S369" s="158">
        <f t="shared" si="1074"/>
        <v>3.8937995197943605</v>
      </c>
      <c r="T369" s="158">
        <f t="shared" si="1074"/>
        <v>3.5290704658355065</v>
      </c>
      <c r="U369" s="158">
        <f t="shared" ref="U369:W376" si="1084">+U190/U11</f>
        <v>3.369600111144964</v>
      </c>
      <c r="V369" s="158">
        <f t="shared" si="1077"/>
        <v>4.1014519321463787</v>
      </c>
      <c r="W369" s="180">
        <f t="shared" ref="W369" si="1085">+W190/W11</f>
        <v>4.2452654502485174</v>
      </c>
      <c r="X369" s="180"/>
      <c r="Y369" s="147"/>
      <c r="Z369" s="127"/>
    </row>
    <row r="370" spans="1:26" x14ac:dyDescent="0.25">
      <c r="A370" s="133" t="s">
        <v>3</v>
      </c>
      <c r="B370" s="158">
        <f t="shared" si="1071"/>
        <v>6.2391658852350211</v>
      </c>
      <c r="C370" s="158">
        <f t="shared" si="1071"/>
        <v>4.4608401527219241</v>
      </c>
      <c r="D370" s="158">
        <f t="shared" si="1071"/>
        <v>4.8881120302432883</v>
      </c>
      <c r="E370" s="158">
        <f t="shared" si="1071"/>
        <v>4.3921920761259114</v>
      </c>
      <c r="F370" s="158">
        <f t="shared" si="1071"/>
        <v>3.5751393909238582</v>
      </c>
      <c r="G370" s="158">
        <f t="shared" si="1071"/>
        <v>3.1293505696688109</v>
      </c>
      <c r="H370" s="158">
        <f t="shared" si="1083"/>
        <v>3.5222126959544364</v>
      </c>
      <c r="I370" s="158">
        <f t="shared" si="1076"/>
        <v>4.4443716141284515</v>
      </c>
      <c r="J370" s="180">
        <f t="shared" si="1073"/>
        <v>4.7525014252546862</v>
      </c>
      <c r="K370" s="180"/>
      <c r="L370" s="127"/>
      <c r="M370" s="2"/>
      <c r="N370" s="133" t="s">
        <v>3</v>
      </c>
      <c r="O370" s="158">
        <f t="shared" si="1074"/>
        <v>3.6618049486786743</v>
      </c>
      <c r="P370" s="158">
        <f t="shared" si="1074"/>
        <v>3.8792127296395571</v>
      </c>
      <c r="Q370" s="158">
        <f t="shared" si="1074"/>
        <v>4.5088065893459026</v>
      </c>
      <c r="R370" s="158">
        <f t="shared" si="1074"/>
        <v>3.8261006550570227</v>
      </c>
      <c r="S370" s="158">
        <f t="shared" si="1074"/>
        <v>3.8464713838279376</v>
      </c>
      <c r="T370" s="158">
        <f t="shared" si="1074"/>
        <v>3.4833447962120534</v>
      </c>
      <c r="U370" s="158">
        <f t="shared" si="1084"/>
        <v>3.4051830753255019</v>
      </c>
      <c r="V370" s="158">
        <f t="shared" si="1077"/>
        <v>4.185361357251332</v>
      </c>
      <c r="W370" s="180">
        <f t="shared" si="1077"/>
        <v>4.2491693484870661</v>
      </c>
      <c r="X370" s="180"/>
      <c r="Y370" s="147"/>
      <c r="Z370" s="127"/>
    </row>
    <row r="371" spans="1:26" x14ac:dyDescent="0.25">
      <c r="A371" s="133" t="s">
        <v>4</v>
      </c>
      <c r="B371" s="158">
        <f t="shared" si="1071"/>
        <v>4.5284750609568238</v>
      </c>
      <c r="C371" s="158">
        <f t="shared" si="1071"/>
        <v>4.6782894857136661</v>
      </c>
      <c r="D371" s="158">
        <f t="shared" si="1071"/>
        <v>4.7463334609175414</v>
      </c>
      <c r="E371" s="158">
        <f t="shared" si="1071"/>
        <v>4.4792718295078489</v>
      </c>
      <c r="F371" s="158">
        <f t="shared" si="1071"/>
        <v>3.099875387502542</v>
      </c>
      <c r="G371" s="158">
        <f t="shared" si="1071"/>
        <v>3.874824429160499</v>
      </c>
      <c r="H371" s="158">
        <f t="shared" si="1083"/>
        <v>4.2584631538689308</v>
      </c>
      <c r="I371" s="158">
        <f t="shared" si="1083"/>
        <v>4.8903807633559868</v>
      </c>
      <c r="J371" s="180">
        <f t="shared" si="1073"/>
        <v>4.3987918594035387</v>
      </c>
      <c r="K371" s="180"/>
      <c r="L371" s="127"/>
      <c r="M371" s="2"/>
      <c r="N371" s="133" t="s">
        <v>4</v>
      </c>
      <c r="O371" s="158">
        <f t="shared" ref="O371:S377" si="1086">+O192/O13</f>
        <v>3.6835650230357766</v>
      </c>
      <c r="P371" s="158">
        <f t="shared" si="1086"/>
        <v>3.8942317846005747</v>
      </c>
      <c r="Q371" s="158">
        <f t="shared" si="1086"/>
        <v>4.5146266066668428</v>
      </c>
      <c r="R371" s="158">
        <f t="shared" si="1086"/>
        <v>3.8082260329127484</v>
      </c>
      <c r="S371" s="158">
        <f t="shared" si="1086"/>
        <v>3.709777045052054</v>
      </c>
      <c r="T371" s="158">
        <v>3.709777045052054</v>
      </c>
      <c r="U371" s="158">
        <f t="shared" si="1084"/>
        <v>3.3999754914275044</v>
      </c>
      <c r="V371" s="158">
        <f t="shared" si="1084"/>
        <v>4.2213865027009199</v>
      </c>
      <c r="W371" s="180">
        <f t="shared" si="1077"/>
        <v>4.2280122436448586</v>
      </c>
      <c r="X371" s="180"/>
      <c r="Y371" s="147"/>
      <c r="Z371" s="127"/>
    </row>
    <row r="372" spans="1:26" x14ac:dyDescent="0.25">
      <c r="A372" s="133" t="s">
        <v>5</v>
      </c>
      <c r="B372" s="158">
        <f t="shared" si="1071"/>
        <v>2.6612122948318726</v>
      </c>
      <c r="C372" s="158">
        <f t="shared" si="1071"/>
        <v>4.2644165244047088</v>
      </c>
      <c r="D372" s="158">
        <f t="shared" si="1071"/>
        <v>4.7253807444345997</v>
      </c>
      <c r="E372" s="158">
        <f t="shared" si="1071"/>
        <v>4.653934211113083</v>
      </c>
      <c r="F372" s="158">
        <f t="shared" si="1071"/>
        <v>3.9760570075801152</v>
      </c>
      <c r="G372" s="158">
        <f t="shared" si="1071"/>
        <v>4.0290585043500258</v>
      </c>
      <c r="H372" s="158">
        <f t="shared" si="1083"/>
        <v>4.2428183244009094</v>
      </c>
      <c r="I372" s="158">
        <f t="shared" si="1083"/>
        <v>4.3356477293661504</v>
      </c>
      <c r="J372" s="180">
        <f t="shared" si="1073"/>
        <v>4.8765615528776554</v>
      </c>
      <c r="K372" s="180"/>
      <c r="L372" s="127"/>
      <c r="M372" s="2"/>
      <c r="N372" s="133" t="s">
        <v>5</v>
      </c>
      <c r="O372" s="158">
        <f t="shared" si="1086"/>
        <v>3.7145848542344337</v>
      </c>
      <c r="P372" s="158">
        <f t="shared" si="1086"/>
        <v>4.0378655543992021</v>
      </c>
      <c r="Q372" s="158">
        <f t="shared" si="1086"/>
        <v>4.554835569078624</v>
      </c>
      <c r="R372" s="158">
        <f t="shared" si="1086"/>
        <v>3.7989029087094006</v>
      </c>
      <c r="S372" s="158">
        <f t="shared" si="1086"/>
        <v>3.6754766132413699</v>
      </c>
      <c r="T372" s="158">
        <v>3.6754766132413699</v>
      </c>
      <c r="U372" s="158">
        <f t="shared" si="1084"/>
        <v>3.4381435588566833</v>
      </c>
      <c r="V372" s="158">
        <f t="shared" si="1084"/>
        <v>4.226303626143622</v>
      </c>
      <c r="W372" s="180">
        <f t="shared" si="1084"/>
        <v>4.2760968036912494</v>
      </c>
      <c r="X372" s="180"/>
      <c r="Y372" s="147"/>
      <c r="Z372" s="127"/>
    </row>
    <row r="373" spans="1:26" x14ac:dyDescent="0.25">
      <c r="A373" s="133" t="s">
        <v>6</v>
      </c>
      <c r="B373" s="158">
        <f t="shared" si="1071"/>
        <v>4.2378477821903919</v>
      </c>
      <c r="C373" s="158">
        <f t="shared" si="1071"/>
        <v>4.3188904861996651</v>
      </c>
      <c r="D373" s="158">
        <f t="shared" si="1071"/>
        <v>4.4922079804196393</v>
      </c>
      <c r="E373" s="158">
        <f t="shared" si="1071"/>
        <v>4.2177652787904272</v>
      </c>
      <c r="F373" s="158">
        <f t="shared" si="1071"/>
        <v>4.093466097106071</v>
      </c>
      <c r="G373" s="158">
        <f t="shared" si="1071"/>
        <v>3.9243272147878745</v>
      </c>
      <c r="H373" s="158">
        <f t="shared" si="1083"/>
        <v>4.0150480984067949</v>
      </c>
      <c r="I373" s="158">
        <f>+I194/I15</f>
        <v>4.5251333508182938</v>
      </c>
      <c r="J373" s="180">
        <f t="shared" si="1073"/>
        <v>4.0634664750873934</v>
      </c>
      <c r="K373" s="180"/>
      <c r="L373" s="127"/>
      <c r="M373" s="2"/>
      <c r="N373" s="133" t="s">
        <v>6</v>
      </c>
      <c r="O373" s="158">
        <f t="shared" si="1086"/>
        <v>3.7236857912142427</v>
      </c>
      <c r="P373" s="158">
        <f t="shared" si="1086"/>
        <v>4.0391911230159065</v>
      </c>
      <c r="Q373" s="158">
        <f t="shared" si="1086"/>
        <v>4.5695427974938712</v>
      </c>
      <c r="R373" s="158">
        <f t="shared" si="1086"/>
        <v>3.7773918487118161</v>
      </c>
      <c r="S373" s="158">
        <f t="shared" si="1086"/>
        <v>3.6618665859314912</v>
      </c>
      <c r="T373" s="158">
        <v>3.6618665859314912</v>
      </c>
      <c r="U373" s="158">
        <f t="shared" si="1084"/>
        <v>3.4377450002758718</v>
      </c>
      <c r="V373" s="158">
        <f t="shared" si="1084"/>
        <v>4.2809361311632967</v>
      </c>
      <c r="W373" s="180">
        <f t="shared" si="1084"/>
        <v>4.2345623406003483</v>
      </c>
      <c r="X373" s="180"/>
      <c r="Y373" s="147"/>
      <c r="Z373" s="127"/>
    </row>
    <row r="374" spans="1:26" x14ac:dyDescent="0.25">
      <c r="A374" s="133" t="s">
        <v>7</v>
      </c>
      <c r="B374" s="158">
        <f t="shared" si="1071"/>
        <v>3.6556906686660895</v>
      </c>
      <c r="C374" s="158">
        <f t="shared" si="1071"/>
        <v>4.2720742104004623</v>
      </c>
      <c r="D374" s="158">
        <f t="shared" si="1071"/>
        <v>3.924154839525853</v>
      </c>
      <c r="E374" s="158">
        <f t="shared" si="1071"/>
        <v>3.9284288836174954</v>
      </c>
      <c r="F374" s="158">
        <f t="shared" si="1071"/>
        <v>2.7313110052477509</v>
      </c>
      <c r="G374" s="158">
        <f t="shared" si="1071"/>
        <v>3.6197299638220555</v>
      </c>
      <c r="H374" s="158">
        <f t="shared" si="1083"/>
        <v>4.0192715561257888</v>
      </c>
      <c r="I374" s="158">
        <f t="shared" si="1083"/>
        <v>3.4805560779227904</v>
      </c>
      <c r="J374" s="180">
        <f t="shared" si="1073"/>
        <v>4.6567719811124322</v>
      </c>
      <c r="K374" s="180"/>
      <c r="L374" s="127"/>
      <c r="M374" s="2"/>
      <c r="N374" s="133" t="s">
        <v>7</v>
      </c>
      <c r="O374" s="158">
        <f t="shared" si="1086"/>
        <v>3.757608195743336</v>
      </c>
      <c r="P374" s="158">
        <f t="shared" si="1086"/>
        <v>4.1005863874976285</v>
      </c>
      <c r="Q374" s="158">
        <f t="shared" si="1086"/>
        <v>4.5396771709702977</v>
      </c>
      <c r="R374" s="158">
        <f t="shared" si="1086"/>
        <v>3.7750025124631281</v>
      </c>
      <c r="S374" s="158">
        <f t="shared" si="1086"/>
        <v>3.5562812070150098</v>
      </c>
      <c r="T374" s="158">
        <f>+T195/T16</f>
        <v>3.6317725754487586</v>
      </c>
      <c r="U374" s="158">
        <f t="shared" si="1084"/>
        <v>3.4658429771479273</v>
      </c>
      <c r="V374" s="158">
        <f t="shared" ref="V374:W374" si="1087">+V195/V16</f>
        <v>4.2193597378764327</v>
      </c>
      <c r="W374" s="180">
        <f t="shared" si="1087"/>
        <v>4.3551397844935016</v>
      </c>
      <c r="X374" s="180"/>
      <c r="Y374" s="147"/>
      <c r="Z374" s="127"/>
    </row>
    <row r="375" spans="1:26" x14ac:dyDescent="0.25">
      <c r="A375" s="133" t="s">
        <v>8</v>
      </c>
      <c r="B375" s="158">
        <f t="shared" ref="B375:G377" si="1088">+B196/B17</f>
        <v>3.8934779826701509</v>
      </c>
      <c r="C375" s="158">
        <f t="shared" si="1088"/>
        <v>4.4899681162292513</v>
      </c>
      <c r="D375" s="158">
        <f t="shared" si="1088"/>
        <v>3.6751214565848072</v>
      </c>
      <c r="E375" s="158">
        <f t="shared" si="1088"/>
        <v>3.074658588273516</v>
      </c>
      <c r="F375" s="158">
        <f t="shared" si="1088"/>
        <v>2.9550215551603509</v>
      </c>
      <c r="G375" s="158">
        <f t="shared" si="1088"/>
        <v>3.2072194617348515</v>
      </c>
      <c r="H375" s="158">
        <f t="shared" si="1083"/>
        <v>3.5536971135525732</v>
      </c>
      <c r="I375" s="158">
        <f t="shared" si="1083"/>
        <v>3.8028635243365541</v>
      </c>
      <c r="J375" s="180">
        <f t="shared" si="1073"/>
        <v>3.5620153762397453</v>
      </c>
      <c r="K375" s="180"/>
      <c r="L375" s="127"/>
      <c r="M375" s="2"/>
      <c r="N375" s="133" t="s">
        <v>8</v>
      </c>
      <c r="O375" s="158">
        <f t="shared" si="1086"/>
        <v>3.82267187693044</v>
      </c>
      <c r="P375" s="158">
        <f t="shared" si="1086"/>
        <v>4.1480152246279474</v>
      </c>
      <c r="Q375" s="158">
        <f t="shared" si="1086"/>
        <v>4.4398853232487578</v>
      </c>
      <c r="R375" s="158">
        <f t="shared" si="1086"/>
        <v>3.7163950151076239</v>
      </c>
      <c r="S375" s="158">
        <f t="shared" si="1086"/>
        <v>3.5439668611806217</v>
      </c>
      <c r="T375" s="158">
        <f t="shared" ref="T375" si="1089">+T196/T17</f>
        <v>3.6604257605207393</v>
      </c>
      <c r="U375" s="158">
        <f t="shared" si="1084"/>
        <v>3.4934963365145792</v>
      </c>
      <c r="V375" s="158">
        <f t="shared" ref="V375:W375" si="1090">+V196/V17</f>
        <v>4.2405359449094773</v>
      </c>
      <c r="W375" s="180">
        <f t="shared" si="1090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088"/>
        <v>3.1841859450055603</v>
      </c>
      <c r="C376" s="158">
        <f t="shared" si="1088"/>
        <v>4.8021433297285645</v>
      </c>
      <c r="D376" s="158">
        <f t="shared" si="1088"/>
        <v>3.0666704452318951</v>
      </c>
      <c r="E376" s="158">
        <f t="shared" si="1088"/>
        <v>2.8939530368481861</v>
      </c>
      <c r="F376" s="158">
        <f t="shared" si="1088"/>
        <v>4.4841097415604123</v>
      </c>
      <c r="G376" s="158">
        <f t="shared" si="1088"/>
        <v>3.1245777823557503</v>
      </c>
      <c r="H376" s="158">
        <f t="shared" si="1083"/>
        <v>4.0307285672753164</v>
      </c>
      <c r="I376" s="158">
        <f t="shared" si="1083"/>
        <v>4.0087901369667485</v>
      </c>
      <c r="J376" s="180">
        <f t="shared" si="1073"/>
        <v>3.9995440579653736</v>
      </c>
      <c r="K376" s="180"/>
      <c r="L376" s="127"/>
      <c r="M376" s="2"/>
      <c r="N376" s="133" t="s">
        <v>9</v>
      </c>
      <c r="O376" s="158">
        <f t="shared" si="1086"/>
        <v>3.8521993784916622</v>
      </c>
      <c r="P376" s="158">
        <f t="shared" si="1086"/>
        <v>4.3215408310977717</v>
      </c>
      <c r="Q376" s="158">
        <f t="shared" si="1086"/>
        <v>4.2497194602432717</v>
      </c>
      <c r="R376" s="158">
        <f t="shared" si="1086"/>
        <v>3.680311612479954</v>
      </c>
      <c r="S376" s="158">
        <f t="shared" si="1086"/>
        <v>3.69571808923184</v>
      </c>
      <c r="T376" s="158">
        <f t="shared" ref="T376" si="1091">+T197/T18</f>
        <v>3.564884770194372</v>
      </c>
      <c r="U376" s="158">
        <f t="shared" si="1084"/>
        <v>3.5569644991703839</v>
      </c>
      <c r="V376" s="158">
        <f t="shared" ref="V376:W376" si="1092">+V197/V18</f>
        <v>4.2405884247073145</v>
      </c>
      <c r="W376" s="180">
        <f t="shared" si="1092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088"/>
        <v>3.9545558762500326</v>
      </c>
      <c r="C377" s="182">
        <f t="shared" si="1088"/>
        <v>4.3215408310977717</v>
      </c>
      <c r="D377" s="182">
        <f t="shared" si="1088"/>
        <v>4.2497194602432717</v>
      </c>
      <c r="E377" s="182">
        <f t="shared" si="1088"/>
        <v>3.680311612479954</v>
      </c>
      <c r="F377" s="182">
        <f t="shared" si="1088"/>
        <v>3.69571808923184</v>
      </c>
      <c r="G377" s="182">
        <f t="shared" ref="G377:H377" si="1093">+G198/G19</f>
        <v>3.564884770194372</v>
      </c>
      <c r="H377" s="182">
        <f t="shared" si="1093"/>
        <v>3.5569644991703839</v>
      </c>
      <c r="I377" s="182">
        <f t="shared" si="1083"/>
        <v>4.2405884247073145</v>
      </c>
      <c r="J377" s="183">
        <f t="shared" ref="J377" si="1094">+J198/J19</f>
        <v>4.314265407826066</v>
      </c>
      <c r="K377" s="183"/>
      <c r="L377" s="137"/>
      <c r="M377" s="3"/>
      <c r="N377" s="134" t="s">
        <v>14</v>
      </c>
      <c r="O377" s="182">
        <f t="shared" si="1086"/>
        <v>3.579810314867895</v>
      </c>
      <c r="P377" s="182">
        <f t="shared" si="1086"/>
        <v>4.0276938642395681</v>
      </c>
      <c r="Q377" s="182">
        <f t="shared" si="1086"/>
        <v>4.4753038444400008</v>
      </c>
      <c r="R377" s="182">
        <f t="shared" si="1086"/>
        <v>3.8189867440294023</v>
      </c>
      <c r="S377" s="182">
        <f t="shared" si="1086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4.2937414152005138</v>
      </c>
      <c r="Y377" s="149">
        <f>+X377/W377-1</f>
        <v>7.8248504147735432E-3</v>
      </c>
      <c r="Z377" s="156">
        <f>+POWER(X377/S377,0.2)-1</f>
        <v>2.5640298669013406E-2</v>
      </c>
    </row>
    <row r="378" spans="1:26" ht="25.5" x14ac:dyDescent="0.25">
      <c r="A378" s="135" t="s">
        <v>15</v>
      </c>
      <c r="B378" s="138">
        <f t="shared" ref="B378:G378" si="1095">+B377/B$539</f>
        <v>1.2551636295984576</v>
      </c>
      <c r="C378" s="138">
        <f t="shared" si="1095"/>
        <v>1.2034875740659818</v>
      </c>
      <c r="D378" s="138">
        <f t="shared" si="1095"/>
        <v>1.4143647783221713</v>
      </c>
      <c r="E378" s="138">
        <f t="shared" si="1095"/>
        <v>1.4093590577891559</v>
      </c>
      <c r="F378" s="138">
        <f t="shared" si="1095"/>
        <v>1.8515064644298247</v>
      </c>
      <c r="G378" s="138">
        <f t="shared" si="1095"/>
        <v>1.2462925966839029</v>
      </c>
      <c r="H378" s="138">
        <f t="shared" ref="H378:I378" si="1096">+H377/H$539</f>
        <v>1.1146354650274808</v>
      </c>
      <c r="I378" s="138">
        <f t="shared" si="1096"/>
        <v>1.2026549268646181</v>
      </c>
      <c r="J378" s="139">
        <f t="shared" ref="J378" si="1097">+J377/J$539</f>
        <v>1.2370397071375547</v>
      </c>
      <c r="K378" s="139"/>
      <c r="L378" s="140"/>
      <c r="M378" s="3"/>
      <c r="N378" s="135" t="s">
        <v>15</v>
      </c>
      <c r="O378" s="138">
        <f t="shared" ref="O378:T378" si="1098">+O377/O$539</f>
        <v>1.1516223167474178</v>
      </c>
      <c r="P378" s="138">
        <f t="shared" si="1098"/>
        <v>1.1953271169023594</v>
      </c>
      <c r="Q378" s="138">
        <f t="shared" si="1098"/>
        <v>1.3018457385112687</v>
      </c>
      <c r="R378" s="138">
        <f t="shared" si="1098"/>
        <v>1.3848850890855138</v>
      </c>
      <c r="S378" s="138">
        <f t="shared" si="1098"/>
        <v>1.7925950548646026</v>
      </c>
      <c r="T378" s="138">
        <f t="shared" si="1098"/>
        <v>1.4473849453059908</v>
      </c>
      <c r="U378" s="138">
        <f t="shared" ref="U378:V378" si="1099">+U377/U$539</f>
        <v>1.1392295931021479</v>
      </c>
      <c r="V378" s="138">
        <f t="shared" si="1099"/>
        <v>1.1894331807072527</v>
      </c>
      <c r="W378" s="139">
        <f t="shared" ref="W378" si="1100">+W377/W$539</f>
        <v>1.2146831800146243</v>
      </c>
      <c r="X378" s="139">
        <f t="shared" ref="X378" si="1101">+X377/X$539</f>
        <v>1.2289281394285032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102">+D377/C377-1</f>
        <v>-1.661938962549514E-2</v>
      </c>
      <c r="E379" s="142">
        <f t="shared" si="1102"/>
        <v>-0.13398716152682755</v>
      </c>
      <c r="F379" s="142">
        <f t="shared" si="1102"/>
        <v>4.1861881204956486E-3</v>
      </c>
      <c r="G379" s="142">
        <f t="shared" si="1102"/>
        <v>-3.5401325501172587E-2</v>
      </c>
      <c r="H379" s="142">
        <f t="shared" si="1102"/>
        <v>-2.2217467140056568E-3</v>
      </c>
      <c r="I379" s="142">
        <f t="shared" si="1102"/>
        <v>0.19219306959526228</v>
      </c>
      <c r="J379" s="143">
        <f t="shared" si="1102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103">+Q377/P377-1</f>
        <v>0.11113306901862607</v>
      </c>
      <c r="R379" s="142">
        <f t="shared" si="1103"/>
        <v>-0.1466530817177899</v>
      </c>
      <c r="S379" s="142">
        <f t="shared" si="1103"/>
        <v>-9.3679998019716715E-3</v>
      </c>
      <c r="T379" s="142">
        <f t="shared" si="1103"/>
        <v>-5.4032341327462707E-2</v>
      </c>
      <c r="U379" s="142">
        <f t="shared" si="1103"/>
        <v>-3.7262759565954928E-2</v>
      </c>
      <c r="V379" s="142">
        <f t="shared" si="1103"/>
        <v>0.17192891866309656</v>
      </c>
      <c r="W379" s="143">
        <f t="shared" si="1103"/>
        <v>5.5127611908149188E-2</v>
      </c>
      <c r="X379" s="143">
        <f t="shared" si="1103"/>
        <v>7.8248504147735432E-3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47" t="s">
        <v>139</v>
      </c>
      <c r="B381" s="348"/>
      <c r="C381" s="348"/>
      <c r="D381" s="348"/>
      <c r="E381" s="348"/>
      <c r="F381" s="348"/>
      <c r="G381" s="348"/>
      <c r="H381" s="348"/>
      <c r="I381" s="348"/>
      <c r="J381" s="348"/>
      <c r="K381" s="348"/>
      <c r="L381" s="349"/>
      <c r="M381" s="2"/>
      <c r="N381" s="347" t="s">
        <v>140</v>
      </c>
      <c r="O381" s="348"/>
      <c r="P381" s="348"/>
      <c r="Q381" s="348"/>
      <c r="R381" s="348"/>
      <c r="S381" s="348"/>
      <c r="T381" s="348"/>
      <c r="U381" s="348"/>
      <c r="V381" s="348"/>
      <c r="W381" s="348"/>
      <c r="X381" s="348"/>
      <c r="Y381" s="348"/>
      <c r="Z381" s="34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104">+C382+1</f>
        <v>2018</v>
      </c>
      <c r="E382" s="129">
        <f t="shared" ref="E382" si="1105">+D382+1</f>
        <v>2019</v>
      </c>
      <c r="F382" s="129">
        <f t="shared" ref="F382" si="1106">+E382+1</f>
        <v>2020</v>
      </c>
      <c r="G382" s="129">
        <f t="shared" ref="G382" si="1107">+F382+1</f>
        <v>2021</v>
      </c>
      <c r="H382" s="129">
        <f t="shared" ref="H382" si="1108">+G382+1</f>
        <v>2022</v>
      </c>
      <c r="I382" s="129">
        <f t="shared" ref="I382" si="1109">+H382+1</f>
        <v>2023</v>
      </c>
      <c r="J382" s="130">
        <f t="shared" ref="J382:K382" si="1110">+I382+1</f>
        <v>2024</v>
      </c>
      <c r="K382" s="130">
        <f t="shared" si="1110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111">+P382+1</f>
        <v>2018</v>
      </c>
      <c r="R382" s="129">
        <f t="shared" si="1111"/>
        <v>2019</v>
      </c>
      <c r="S382" s="129">
        <f t="shared" si="1111"/>
        <v>2020</v>
      </c>
      <c r="T382" s="129">
        <f t="shared" si="1111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112">+B204/B25</f>
        <v>2.4273718232305583</v>
      </c>
      <c r="C383" s="158">
        <f t="shared" si="1112"/>
        <v>2.475322789376027</v>
      </c>
      <c r="D383" s="158">
        <f t="shared" si="1112"/>
        <v>3.2566295190011321</v>
      </c>
      <c r="E383" s="158">
        <f t="shared" si="1112"/>
        <v>2.8452222609397468</v>
      </c>
      <c r="F383" s="158">
        <f t="shared" si="1112"/>
        <v>2.5145452444286271</v>
      </c>
      <c r="G383" s="158">
        <f t="shared" si="1112"/>
        <v>1.9465321095097075</v>
      </c>
      <c r="H383" s="158">
        <f t="shared" ref="H383:J383" si="1113">+H204/H25</f>
        <v>2.3788349297526885</v>
      </c>
      <c r="I383" s="158">
        <f t="shared" si="1113"/>
        <v>2.3898439309094583</v>
      </c>
      <c r="J383" s="180">
        <f t="shared" si="1113"/>
        <v>1.7241797518744961</v>
      </c>
      <c r="K383" s="180">
        <f t="shared" ref="K383:K385" si="1114">+K204/K25</f>
        <v>2.0374239175251412</v>
      </c>
      <c r="L383" s="127">
        <f>+K383/J383-1</f>
        <v>0.18167720929914166</v>
      </c>
      <c r="M383" s="2"/>
      <c r="N383" s="133" t="s">
        <v>10</v>
      </c>
      <c r="O383" s="158">
        <f t="shared" ref="O383:U394" si="1115">+O204/O25</f>
        <v>2.8642746553877707</v>
      </c>
      <c r="P383" s="158">
        <f t="shared" si="1115"/>
        <v>2.854637382329535</v>
      </c>
      <c r="Q383" s="158">
        <f t="shared" si="1115"/>
        <v>3.0167752384564528</v>
      </c>
      <c r="R383" s="158">
        <f t="shared" si="1115"/>
        <v>2.9900026784306895</v>
      </c>
      <c r="S383" s="158">
        <f t="shared" si="1115"/>
        <v>2.6736891937672049</v>
      </c>
      <c r="T383" s="158">
        <f t="shared" si="1115"/>
        <v>2.180528351597995</v>
      </c>
      <c r="U383" s="158">
        <f t="shared" si="1115"/>
        <v>2.1747048503142623</v>
      </c>
      <c r="V383" s="158">
        <f t="shared" ref="V383:X385" si="1116">+V204/V25</f>
        <v>2.1334543214523243</v>
      </c>
      <c r="W383" s="180">
        <f t="shared" si="1116"/>
        <v>2.1024250191157696</v>
      </c>
      <c r="X383" s="180">
        <f t="shared" si="1116"/>
        <v>2.0771459225363298</v>
      </c>
      <c r="Y383" s="147">
        <f>+X383/W383-1</f>
        <v>-1.2023780324908584E-2</v>
      </c>
      <c r="Z383" s="127">
        <f>+POWER(X383/S383,0.2)-1</f>
        <v>-4.9239309618477112E-2</v>
      </c>
    </row>
    <row r="384" spans="1:26" x14ac:dyDescent="0.25">
      <c r="A384" s="133" t="s">
        <v>11</v>
      </c>
      <c r="B384" s="158">
        <f t="shared" si="1112"/>
        <v>2.8429983456956478</v>
      </c>
      <c r="C384" s="158">
        <f t="shared" si="1112"/>
        <v>2.8152106941096582</v>
      </c>
      <c r="D384" s="158">
        <f t="shared" si="1112"/>
        <v>2.9553330468679961</v>
      </c>
      <c r="E384" s="158">
        <f t="shared" si="1112"/>
        <v>2.9140969078566576</v>
      </c>
      <c r="F384" s="158">
        <f t="shared" si="1112"/>
        <v>2.5095998299394084</v>
      </c>
      <c r="G384" s="158">
        <f t="shared" si="1112"/>
        <v>2.1013890279416181</v>
      </c>
      <c r="H384" s="158">
        <f t="shared" ref="H384:J384" si="1117">+H205/H26</f>
        <v>2.221615764558706</v>
      </c>
      <c r="I384" s="158">
        <f t="shared" si="1117"/>
        <v>2.0296097796467802</v>
      </c>
      <c r="J384" s="180">
        <f t="shared" si="1117"/>
        <v>2.0264967293566656</v>
      </c>
      <c r="K384" s="180">
        <f t="shared" si="1114"/>
        <v>2.0475587329133118</v>
      </c>
      <c r="L384" s="127">
        <f>+K384/J384-1</f>
        <v>1.0393307450998313E-2</v>
      </c>
      <c r="M384" s="2"/>
      <c r="N384" s="133" t="s">
        <v>11</v>
      </c>
      <c r="O384" s="158">
        <f t="shared" si="1115"/>
        <v>2.8523930301064442</v>
      </c>
      <c r="P384" s="158">
        <f t="shared" si="1115"/>
        <v>2.852625391651824</v>
      </c>
      <c r="Q384" s="158">
        <f t="shared" si="1115"/>
        <v>3.0271066473981447</v>
      </c>
      <c r="R384" s="158">
        <f t="shared" si="1115"/>
        <v>2.985730710859321</v>
      </c>
      <c r="S384" s="158">
        <f t="shared" si="1115"/>
        <v>2.6436535118753879</v>
      </c>
      <c r="T384" s="158">
        <f t="shared" si="1115"/>
        <v>2.1555100530945412</v>
      </c>
      <c r="U384" s="158">
        <f t="shared" si="1115"/>
        <v>2.184455676671067</v>
      </c>
      <c r="V384" s="158">
        <f t="shared" ref="V384:W394" si="1118">+V205/V26</f>
        <v>2.1171238369681662</v>
      </c>
      <c r="W384" s="180">
        <f t="shared" si="1118"/>
        <v>2.1011857333965547</v>
      </c>
      <c r="X384" s="180">
        <f t="shared" si="1116"/>
        <v>2.0791140008229454</v>
      </c>
      <c r="Y384" s="147">
        <f>+X384/W384-1</f>
        <v>-1.0504417683214751E-2</v>
      </c>
      <c r="Z384" s="127">
        <f>+POWER(X384/S384,0.2)-1</f>
        <v>-4.6908154582023576E-2</v>
      </c>
    </row>
    <row r="385" spans="1:26" x14ac:dyDescent="0.25">
      <c r="A385" s="133" t="s">
        <v>0</v>
      </c>
      <c r="B385" s="158">
        <f t="shared" si="1112"/>
        <v>3.0618009134327919</v>
      </c>
      <c r="C385" s="158">
        <f t="shared" si="1112"/>
        <v>2.9125859981990554</v>
      </c>
      <c r="D385" s="158">
        <f t="shared" si="1112"/>
        <v>2.9429169505974713</v>
      </c>
      <c r="E385" s="158">
        <f t="shared" si="1112"/>
        <v>2.9817411884890239</v>
      </c>
      <c r="F385" s="158">
        <f t="shared" si="1112"/>
        <v>2.2719874881816389</v>
      </c>
      <c r="G385" s="158">
        <f t="shared" si="1112"/>
        <v>2.2273367146793404</v>
      </c>
      <c r="H385" s="158">
        <f t="shared" ref="H385:J385" si="1119">+H206/H27</f>
        <v>1.9562567185332429</v>
      </c>
      <c r="I385" s="158">
        <f t="shared" si="1119"/>
        <v>2.0260613703236654</v>
      </c>
      <c r="J385" s="180">
        <f t="shared" si="1119"/>
        <v>2.1653001429602412</v>
      </c>
      <c r="K385" s="180">
        <f t="shared" si="1114"/>
        <v>1.7743239413344465</v>
      </c>
      <c r="L385" s="127">
        <f>+K385/J385-1</f>
        <v>-0.1805644371737215</v>
      </c>
      <c r="M385" s="2"/>
      <c r="N385" s="133" t="s">
        <v>0</v>
      </c>
      <c r="O385" s="158">
        <f t="shared" si="1115"/>
        <v>2.8635938614643957</v>
      </c>
      <c r="P385" s="158">
        <f t="shared" si="1115"/>
        <v>2.8403198176257543</v>
      </c>
      <c r="Q385" s="158">
        <f t="shared" si="1115"/>
        <v>3.0280229571622215</v>
      </c>
      <c r="R385" s="158">
        <f t="shared" si="1115"/>
        <v>2.9889337738064787</v>
      </c>
      <c r="S385" s="158">
        <f t="shared" si="1115"/>
        <v>2.5813607652447521</v>
      </c>
      <c r="T385" s="158">
        <f t="shared" si="1115"/>
        <v>2.1534939613261348</v>
      </c>
      <c r="U385" s="158">
        <f t="shared" si="1115"/>
        <v>2.1580469862387295</v>
      </c>
      <c r="V385" s="158">
        <f t="shared" si="1118"/>
        <v>2.1275024324340568</v>
      </c>
      <c r="W385" s="180">
        <f t="shared" si="1118"/>
        <v>2.1146181572812206</v>
      </c>
      <c r="X385" s="180">
        <f t="shared" si="1116"/>
        <v>2.0498122771444591</v>
      </c>
      <c r="Y385" s="147">
        <f>+X385/W385-1</f>
        <v>-3.0646611026968085E-2</v>
      </c>
      <c r="Z385" s="127">
        <f>+POWER(X385/S385,0.2)-1</f>
        <v>-4.5066614454482123E-2</v>
      </c>
    </row>
    <row r="386" spans="1:26" x14ac:dyDescent="0.25">
      <c r="A386" s="133" t="s">
        <v>1</v>
      </c>
      <c r="B386" s="158">
        <f t="shared" si="1112"/>
        <v>3.2427448958538192</v>
      </c>
      <c r="C386" s="158">
        <f t="shared" si="1112"/>
        <v>2.9337453032284597</v>
      </c>
      <c r="D386" s="158">
        <f t="shared" si="1112"/>
        <v>2.9584765340665378</v>
      </c>
      <c r="E386" s="158">
        <f t="shared" si="1112"/>
        <v>2.9189182427699385</v>
      </c>
      <c r="F386" s="158">
        <f t="shared" si="1112"/>
        <v>2.436122666570073</v>
      </c>
      <c r="G386" s="158">
        <f t="shared" si="1112"/>
        <v>2.1584378364062426</v>
      </c>
      <c r="H386" s="158">
        <f t="shared" ref="H386:J386" si="1120">+H207/H28</f>
        <v>2.4930456988359988</v>
      </c>
      <c r="I386" s="158">
        <f t="shared" si="1120"/>
        <v>2.0263033063159561</v>
      </c>
      <c r="J386" s="180">
        <f t="shared" si="1120"/>
        <v>1.9349317472190526</v>
      </c>
      <c r="K386" s="180"/>
      <c r="L386" s="127"/>
      <c r="M386" s="2"/>
      <c r="N386" s="133" t="s">
        <v>1</v>
      </c>
      <c r="O386" s="158">
        <f t="shared" si="1115"/>
        <v>2.8851010490847973</v>
      </c>
      <c r="P386" s="158">
        <f t="shared" si="1115"/>
        <v>2.8233348160975691</v>
      </c>
      <c r="Q386" s="158">
        <f t="shared" si="1115"/>
        <v>3.0298150079012034</v>
      </c>
      <c r="R386" s="158">
        <f t="shared" si="1115"/>
        <v>2.9855582588437528</v>
      </c>
      <c r="S386" s="158">
        <f t="shared" si="1115"/>
        <v>2.5456601183457703</v>
      </c>
      <c r="T386" s="158">
        <f t="shared" si="1115"/>
        <v>2.1382056682496913</v>
      </c>
      <c r="U386" s="158">
        <f t="shared" si="1115"/>
        <v>2.1771522277640396</v>
      </c>
      <c r="V386" s="158">
        <f t="shared" si="1118"/>
        <v>2.0942274116421533</v>
      </c>
      <c r="W386" s="180">
        <f t="shared" ref="W386" si="1121">+W207/W28</f>
        <v>2.1079081527460906</v>
      </c>
      <c r="X386" s="180"/>
      <c r="Y386" s="147"/>
      <c r="Z386" s="127"/>
    </row>
    <row r="387" spans="1:26" x14ac:dyDescent="0.25">
      <c r="A387" s="133" t="s">
        <v>2</v>
      </c>
      <c r="B387" s="158">
        <f t="shared" si="1112"/>
        <v>2.8928621074545693</v>
      </c>
      <c r="C387" s="158">
        <f t="shared" si="1112"/>
        <v>2.9447256387810516</v>
      </c>
      <c r="D387" s="158">
        <f t="shared" si="1112"/>
        <v>3.0933488780570118</v>
      </c>
      <c r="E387" s="158">
        <f t="shared" si="1112"/>
        <v>2.7753559819386218</v>
      </c>
      <c r="F387" s="158">
        <f t="shared" si="1112"/>
        <v>2.3117473100269836</v>
      </c>
      <c r="G387" s="158">
        <f t="shared" si="1112"/>
        <v>1.7792368027750929</v>
      </c>
      <c r="H387" s="158">
        <f t="shared" ref="H387:J394" si="1122">+H208/H29</f>
        <v>2.2980115376325823</v>
      </c>
      <c r="I387" s="158">
        <f t="shared" si="1122"/>
        <v>1.9447340165498828</v>
      </c>
      <c r="J387" s="180">
        <f t="shared" si="1122"/>
        <v>2.0263844707553611</v>
      </c>
      <c r="K387" s="180"/>
      <c r="L387" s="127"/>
      <c r="M387" s="2"/>
      <c r="N387" s="133" t="s">
        <v>2</v>
      </c>
      <c r="O387" s="158">
        <f t="shared" si="1115"/>
        <v>2.8822091210249217</v>
      </c>
      <c r="P387" s="158">
        <f t="shared" si="1115"/>
        <v>2.8283056849968125</v>
      </c>
      <c r="Q387" s="158">
        <f t="shared" si="1115"/>
        <v>3.0416606983313197</v>
      </c>
      <c r="R387" s="158">
        <f t="shared" si="1115"/>
        <v>2.9578596746186956</v>
      </c>
      <c r="S387" s="158">
        <f t="shared" si="1115"/>
        <v>2.4993579737894862</v>
      </c>
      <c r="T387" s="158">
        <f t="shared" si="1115"/>
        <v>2.0860323884674421</v>
      </c>
      <c r="U387" s="158">
        <f t="shared" si="1115"/>
        <v>2.2317461958977058</v>
      </c>
      <c r="V387" s="158">
        <f t="shared" si="1118"/>
        <v>2.0641980756468232</v>
      </c>
      <c r="W387" s="180">
        <f t="shared" ref="W387:W391" si="1123">+W208/W29</f>
        <v>2.1168101081070643</v>
      </c>
      <c r="X387" s="180"/>
      <c r="Y387" s="147"/>
      <c r="Z387" s="127"/>
    </row>
    <row r="388" spans="1:26" x14ac:dyDescent="0.25">
      <c r="A388" s="133" t="s">
        <v>3</v>
      </c>
      <c r="B388" s="158">
        <f t="shared" si="1112"/>
        <v>2.8261545547427165</v>
      </c>
      <c r="C388" s="158">
        <f t="shared" si="1112"/>
        <v>2.8463840492154917</v>
      </c>
      <c r="D388" s="158">
        <f t="shared" si="1112"/>
        <v>2.8556619894542257</v>
      </c>
      <c r="E388" s="158">
        <f t="shared" si="1112"/>
        <v>2.8129346341177119</v>
      </c>
      <c r="F388" s="158">
        <f t="shared" si="1112"/>
        <v>2.2754525788288498</v>
      </c>
      <c r="G388" s="158">
        <f t="shared" si="1112"/>
        <v>2.0712206865133069</v>
      </c>
      <c r="H388" s="158">
        <f t="shared" si="1122"/>
        <v>2.1581141155108723</v>
      </c>
      <c r="I388" s="158">
        <f t="shared" si="1122"/>
        <v>2.4309437843404624</v>
      </c>
      <c r="J388" s="180">
        <f t="shared" si="1122"/>
        <v>2.2922309165921009</v>
      </c>
      <c r="K388" s="180"/>
      <c r="L388" s="127"/>
      <c r="M388" s="2"/>
      <c r="N388" s="133" t="s">
        <v>3</v>
      </c>
      <c r="O388" s="158">
        <f t="shared" si="1115"/>
        <v>2.892806766352062</v>
      </c>
      <c r="P388" s="158">
        <f t="shared" si="1115"/>
        <v>2.8302766122118777</v>
      </c>
      <c r="Q388" s="158">
        <f t="shared" si="1115"/>
        <v>3.048792647554305</v>
      </c>
      <c r="R388" s="158">
        <f t="shared" si="1115"/>
        <v>2.9545365999696522</v>
      </c>
      <c r="S388" s="158">
        <f t="shared" si="1115"/>
        <v>2.4598095540443055</v>
      </c>
      <c r="T388" s="158">
        <f t="shared" si="1115"/>
        <v>2.0701961663475545</v>
      </c>
      <c r="U388" s="158">
        <f t="shared" si="1115"/>
        <v>2.2369171760347131</v>
      </c>
      <c r="V388" s="158">
        <f t="shared" si="1118"/>
        <v>2.0777557032224991</v>
      </c>
      <c r="W388" s="180">
        <f t="shared" si="1123"/>
        <v>2.1029420789947295</v>
      </c>
      <c r="X388" s="180"/>
      <c r="Y388" s="147"/>
      <c r="Z388" s="127"/>
    </row>
    <row r="389" spans="1:26" x14ac:dyDescent="0.25">
      <c r="A389" s="133" t="s">
        <v>4</v>
      </c>
      <c r="B389" s="158">
        <f t="shared" si="1112"/>
        <v>3.1665043137704325</v>
      </c>
      <c r="C389" s="158">
        <f t="shared" si="1112"/>
        <v>2.9437047147999311</v>
      </c>
      <c r="D389" s="158">
        <f t="shared" si="1112"/>
        <v>3.1298945863914613</v>
      </c>
      <c r="E389" s="158">
        <f t="shared" si="1112"/>
        <v>2.5427506573506289</v>
      </c>
      <c r="F389" s="158">
        <f t="shared" si="1112"/>
        <v>2.0053209256627103</v>
      </c>
      <c r="G389" s="158">
        <f t="shared" si="1112"/>
        <v>1.8962924969083441</v>
      </c>
      <c r="H389" s="158">
        <f t="shared" si="1122"/>
        <v>2.4321153495305552</v>
      </c>
      <c r="I389" s="158">
        <f t="shared" si="1122"/>
        <v>2.2228378269958839</v>
      </c>
      <c r="J389" s="180">
        <f t="shared" si="1122"/>
        <v>1.9749167551563749</v>
      </c>
      <c r="K389" s="180"/>
      <c r="L389" s="127"/>
      <c r="M389" s="2"/>
      <c r="N389" s="133" t="s">
        <v>4</v>
      </c>
      <c r="O389" s="158">
        <f t="shared" si="1115"/>
        <v>2.908216309805832</v>
      </c>
      <c r="P389" s="158">
        <f t="shared" si="1115"/>
        <v>2.8161156623013208</v>
      </c>
      <c r="Q389" s="158">
        <f t="shared" si="1115"/>
        <v>3.0652858744261371</v>
      </c>
      <c r="R389" s="158">
        <f t="shared" si="1115"/>
        <v>2.9081349057466088</v>
      </c>
      <c r="S389" s="158">
        <f t="shared" si="1115"/>
        <v>2.4077838488786245</v>
      </c>
      <c r="T389" s="158">
        <f t="shared" si="1115"/>
        <v>2.0608231149131777</v>
      </c>
      <c r="U389" s="158">
        <f t="shared" si="1115"/>
        <v>2.2803738619305016</v>
      </c>
      <c r="V389" s="158">
        <f t="shared" si="1118"/>
        <v>2.0653222759959897</v>
      </c>
      <c r="W389" s="180">
        <f t="shared" si="1123"/>
        <v>2.079017599863243</v>
      </c>
      <c r="X389" s="180"/>
      <c r="Y389" s="147"/>
      <c r="Z389" s="127"/>
    </row>
    <row r="390" spans="1:26" x14ac:dyDescent="0.25">
      <c r="A390" s="133" t="s">
        <v>5</v>
      </c>
      <c r="B390" s="158">
        <f t="shared" si="1112"/>
        <v>2.7925490522421383</v>
      </c>
      <c r="C390" s="158">
        <f t="shared" si="1112"/>
        <v>3.0426387846324565</v>
      </c>
      <c r="D390" s="158">
        <f t="shared" si="1112"/>
        <v>3.2388654775311507</v>
      </c>
      <c r="E390" s="158">
        <f t="shared" si="1112"/>
        <v>2.6068932660748461</v>
      </c>
      <c r="F390" s="158">
        <f t="shared" si="1112"/>
        <v>1.7427805236622476</v>
      </c>
      <c r="G390" s="158">
        <f t="shared" si="1112"/>
        <v>2.0521332466245799</v>
      </c>
      <c r="H390" s="158">
        <f t="shared" si="1122"/>
        <v>2.2956091441970097</v>
      </c>
      <c r="I390" s="158">
        <f t="shared" si="1122"/>
        <v>2.1489796248930588</v>
      </c>
      <c r="J390" s="180">
        <f t="shared" ref="J390" si="1124">+J211/J32</f>
        <v>1.9112140145264249</v>
      </c>
      <c r="K390" s="180"/>
      <c r="L390" s="127"/>
      <c r="M390" s="2"/>
      <c r="N390" s="133" t="s">
        <v>5</v>
      </c>
      <c r="O390" s="158">
        <f t="shared" si="1115"/>
        <v>2.8926618178596502</v>
      </c>
      <c r="P390" s="158">
        <f t="shared" si="1115"/>
        <v>2.8367411760347401</v>
      </c>
      <c r="Q390" s="158">
        <f t="shared" si="1115"/>
        <v>3.0812702402603862</v>
      </c>
      <c r="R390" s="158">
        <f t="shared" si="1115"/>
        <v>2.8603215572832847</v>
      </c>
      <c r="S390" s="158">
        <f t="shared" si="1115"/>
        <v>2.308960072491347</v>
      </c>
      <c r="T390" s="158">
        <f t="shared" si="1115"/>
        <v>2.097561385093933</v>
      </c>
      <c r="U390" s="158">
        <f t="shared" si="1115"/>
        <v>2.2994010459642982</v>
      </c>
      <c r="V390" s="158">
        <f t="shared" si="1118"/>
        <v>2.0519854137369831</v>
      </c>
      <c r="W390" s="180">
        <f t="shared" si="1123"/>
        <v>2.0547034567655653</v>
      </c>
      <c r="X390" s="180"/>
      <c r="Y390" s="147"/>
      <c r="Z390" s="127"/>
    </row>
    <row r="391" spans="1:26" x14ac:dyDescent="0.25">
      <c r="A391" s="133" t="s">
        <v>6</v>
      </c>
      <c r="B391" s="158">
        <f t="shared" si="1112"/>
        <v>3.0441602858516412</v>
      </c>
      <c r="C391" s="158">
        <f t="shared" si="1112"/>
        <v>3.1423009298979308</v>
      </c>
      <c r="D391" s="158">
        <f t="shared" si="1112"/>
        <v>3.0686945302420141</v>
      </c>
      <c r="E391" s="158">
        <f t="shared" si="1112"/>
        <v>2.55115757430706</v>
      </c>
      <c r="F391" s="158">
        <f t="shared" si="1112"/>
        <v>2.3219096927989211</v>
      </c>
      <c r="G391" s="158">
        <f t="shared" si="1112"/>
        <v>2.6617397932468836</v>
      </c>
      <c r="H391" s="158">
        <f t="shared" si="1122"/>
        <v>1.8406434809071817</v>
      </c>
      <c r="I391" s="158">
        <f>+I212/I33</f>
        <v>2.3489931278539142</v>
      </c>
      <c r="J391" s="180">
        <f t="shared" ref="J391:J394" si="1125">+J212/J33</f>
        <v>2.3951276746696735</v>
      </c>
      <c r="K391" s="180"/>
      <c r="L391" s="127"/>
      <c r="M391" s="2"/>
      <c r="N391" s="133" t="s">
        <v>6</v>
      </c>
      <c r="O391" s="158">
        <f t="shared" si="1115"/>
        <v>2.8993011993394568</v>
      </c>
      <c r="P391" s="158">
        <f t="shared" si="1115"/>
        <v>2.8463168996902874</v>
      </c>
      <c r="Q391" s="158">
        <f t="shared" si="1115"/>
        <v>3.0742272536966335</v>
      </c>
      <c r="R391" s="158">
        <f t="shared" si="1115"/>
        <v>2.8135669657422011</v>
      </c>
      <c r="S391" s="158">
        <f t="shared" si="1115"/>
        <v>2.292142765776795</v>
      </c>
      <c r="T391" s="158">
        <f t="shared" si="1115"/>
        <v>2.1259493238886416</v>
      </c>
      <c r="U391" s="158">
        <f t="shared" si="1115"/>
        <v>2.2176954655603107</v>
      </c>
      <c r="V391" s="158">
        <f t="shared" si="1118"/>
        <v>2.1059431856420319</v>
      </c>
      <c r="W391" s="180">
        <f t="shared" si="1123"/>
        <v>2.0587930202104419</v>
      </c>
      <c r="X391" s="180"/>
      <c r="Y391" s="147"/>
      <c r="Z391" s="127"/>
    </row>
    <row r="392" spans="1:26" x14ac:dyDescent="0.25">
      <c r="A392" s="133" t="s">
        <v>7</v>
      </c>
      <c r="B392" s="158">
        <f t="shared" si="1112"/>
        <v>2.5496952563767672</v>
      </c>
      <c r="C392" s="158">
        <f t="shared" si="1112"/>
        <v>3.4720721231029747</v>
      </c>
      <c r="D392" s="158">
        <f t="shared" si="1112"/>
        <v>3.1834944358703599</v>
      </c>
      <c r="E392" s="158">
        <f t="shared" si="1112"/>
        <v>2.8301936232624243</v>
      </c>
      <c r="F392" s="158">
        <f t="shared" si="1112"/>
        <v>2.2552835544919745</v>
      </c>
      <c r="G392" s="158">
        <f t="shared" si="1112"/>
        <v>2.3699454970712357</v>
      </c>
      <c r="H392" s="158">
        <f t="shared" si="1122"/>
        <v>1.8716305368669921</v>
      </c>
      <c r="I392" s="158">
        <f t="shared" si="1122"/>
        <v>2.4134244890136589</v>
      </c>
      <c r="J392" s="180">
        <f t="shared" si="1125"/>
        <v>2.2394340327616167</v>
      </c>
      <c r="K392" s="180"/>
      <c r="L392" s="127"/>
      <c r="M392" s="2"/>
      <c r="N392" s="133" t="s">
        <v>7</v>
      </c>
      <c r="O392" s="158">
        <f t="shared" si="1115"/>
        <v>2.8422579850802898</v>
      </c>
      <c r="P392" s="158">
        <f t="shared" si="1115"/>
        <v>2.9256264965978329</v>
      </c>
      <c r="Q392" s="158">
        <f t="shared" si="1115"/>
        <v>3.0521547480276796</v>
      </c>
      <c r="R392" s="158">
        <f t="shared" si="1115"/>
        <v>2.788004660475135</v>
      </c>
      <c r="S392" s="158">
        <f t="shared" si="1115"/>
        <v>2.2474792815296443</v>
      </c>
      <c r="T392" s="158">
        <f t="shared" si="1115"/>
        <v>2.1341323928746827</v>
      </c>
      <c r="U392" s="158">
        <f t="shared" si="1115"/>
        <v>2.1786867440060238</v>
      </c>
      <c r="V392" s="158">
        <f t="shared" si="1118"/>
        <v>2.1562813255086852</v>
      </c>
      <c r="W392" s="180">
        <f t="shared" si="1118"/>
        <v>2.0437052158288371</v>
      </c>
      <c r="X392" s="180"/>
      <c r="Y392" s="147"/>
      <c r="Z392" s="127"/>
    </row>
    <row r="393" spans="1:26" x14ac:dyDescent="0.25">
      <c r="A393" s="133" t="s">
        <v>8</v>
      </c>
      <c r="B393" s="158">
        <f t="shared" ref="B393:G395" si="1126">+B214/B35</f>
        <v>2.7107532952474651</v>
      </c>
      <c r="C393" s="158">
        <f t="shared" si="1126"/>
        <v>2.9748918389231966</v>
      </c>
      <c r="D393" s="158">
        <f t="shared" si="1126"/>
        <v>2.9083225042054037</v>
      </c>
      <c r="E393" s="158">
        <f t="shared" si="1126"/>
        <v>2.3777427647781484</v>
      </c>
      <c r="F393" s="158">
        <f t="shared" si="1126"/>
        <v>2.4362709647153329</v>
      </c>
      <c r="G393" s="158">
        <f t="shared" si="1126"/>
        <v>2.2163271274052292</v>
      </c>
      <c r="H393" s="158">
        <f t="shared" si="1122"/>
        <v>1.7644720231926174</v>
      </c>
      <c r="I393" s="158">
        <f t="shared" si="1122"/>
        <v>2.0366365900018399</v>
      </c>
      <c r="J393" s="180">
        <f t="shared" si="1125"/>
        <v>2.344683530044521</v>
      </c>
      <c r="K393" s="180"/>
      <c r="L393" s="127"/>
      <c r="M393" s="2"/>
      <c r="N393" s="133" t="s">
        <v>8</v>
      </c>
      <c r="O393" s="158">
        <f t="shared" ref="O393:S395" si="1127">+O214/O35</f>
        <v>2.8410029763949409</v>
      </c>
      <c r="P393" s="158">
        <f t="shared" si="1127"/>
        <v>2.9479059761926054</v>
      </c>
      <c r="Q393" s="158">
        <f t="shared" si="1127"/>
        <v>3.0442218172599103</v>
      </c>
      <c r="R393" s="158">
        <f t="shared" si="1127"/>
        <v>2.7444887065233114</v>
      </c>
      <c r="S393" s="158">
        <f t="shared" si="1127"/>
        <v>2.2559372819334156</v>
      </c>
      <c r="T393" s="158">
        <f t="shared" ref="T393" si="1128">+T214/T35</f>
        <v>2.1172606893299792</v>
      </c>
      <c r="U393" s="158">
        <f t="shared" si="1115"/>
        <v>2.1447667645562545</v>
      </c>
      <c r="V393" s="158">
        <f t="shared" si="1118"/>
        <v>2.1782602007291509</v>
      </c>
      <c r="W393" s="180">
        <f t="shared" si="1118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126"/>
        <v>2.898987024614712</v>
      </c>
      <c r="C394" s="158">
        <f t="shared" si="1126"/>
        <v>2.974758350225259</v>
      </c>
      <c r="D394" s="158">
        <f t="shared" si="1126"/>
        <v>2.8013618727800615</v>
      </c>
      <c r="E394" s="158">
        <f t="shared" si="1126"/>
        <v>2.4041635859988815</v>
      </c>
      <c r="F394" s="158">
        <f t="shared" si="1126"/>
        <v>2.0000880489418584</v>
      </c>
      <c r="G394" s="158">
        <f t="shared" si="1126"/>
        <v>2.3393722432417801</v>
      </c>
      <c r="H394" s="158">
        <f t="shared" si="1122"/>
        <v>2.2511992489631996</v>
      </c>
      <c r="I394" s="158">
        <f t="shared" si="1122"/>
        <v>1.9691015308773243</v>
      </c>
      <c r="J394" s="180">
        <f t="shared" si="1125"/>
        <v>1.8369589448228132</v>
      </c>
      <c r="K394" s="180"/>
      <c r="L394" s="127"/>
      <c r="M394" s="2"/>
      <c r="N394" s="133" t="s">
        <v>9</v>
      </c>
      <c r="O394" s="158">
        <f t="shared" si="1127"/>
        <v>2.8580085985001284</v>
      </c>
      <c r="P394" s="158">
        <f t="shared" si="1127"/>
        <v>2.9533332335492712</v>
      </c>
      <c r="Q394" s="158">
        <f t="shared" si="1127"/>
        <v>3.0199717989715258</v>
      </c>
      <c r="R394" s="158">
        <f t="shared" si="1127"/>
        <v>2.7015011622396781</v>
      </c>
      <c r="S394" s="158">
        <f t="shared" si="1127"/>
        <v>2.2220207170066426</v>
      </c>
      <c r="T394" s="158">
        <f t="shared" ref="T394" si="1129">+T215/T36</f>
        <v>2.1481385339252217</v>
      </c>
      <c r="U394" s="158">
        <f t="shared" si="1115"/>
        <v>2.1316099287213053</v>
      </c>
      <c r="V394" s="158">
        <f t="shared" si="1118"/>
        <v>2.1486989557603948</v>
      </c>
      <c r="W394" s="180">
        <f t="shared" si="1118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126"/>
        <v>2.8580085985001284</v>
      </c>
      <c r="C395" s="182">
        <f t="shared" si="1126"/>
        <v>2.9533332335492712</v>
      </c>
      <c r="D395" s="182">
        <f t="shared" si="1126"/>
        <v>3.0199717989715258</v>
      </c>
      <c r="E395" s="182">
        <f t="shared" si="1126"/>
        <v>2.7015011622396781</v>
      </c>
      <c r="F395" s="182">
        <f t="shared" si="1126"/>
        <v>2.2220207170066426</v>
      </c>
      <c r="G395" s="182">
        <f t="shared" ref="G395:I395" si="1130">+G216/G37</f>
        <v>2.1481385339252217</v>
      </c>
      <c r="H395" s="182">
        <f t="shared" si="1130"/>
        <v>2.1316099287213053</v>
      </c>
      <c r="I395" s="182">
        <f t="shared" si="1130"/>
        <v>2.1486989557603948</v>
      </c>
      <c r="J395" s="183">
        <f t="shared" ref="J395" si="1131">+J216/J37</f>
        <v>2.0553020155341017</v>
      </c>
      <c r="K395" s="183"/>
      <c r="L395" s="137"/>
      <c r="M395" s="3"/>
      <c r="N395" s="134" t="s">
        <v>14</v>
      </c>
      <c r="O395" s="182">
        <f t="shared" si="1127"/>
        <v>2.8731636086218066</v>
      </c>
      <c r="P395" s="182">
        <f t="shared" si="1127"/>
        <v>2.863149266322409</v>
      </c>
      <c r="Q395" s="182">
        <f t="shared" si="1127"/>
        <v>3.0438313477528878</v>
      </c>
      <c r="R395" s="182">
        <f t="shared" si="1127"/>
        <v>2.8852308111851301</v>
      </c>
      <c r="S395" s="182">
        <f t="shared" si="1127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2.068797679538068</v>
      </c>
      <c r="Y395" s="149">
        <f>+X395/W395-1</f>
        <v>-6.8165576013962115E-3</v>
      </c>
      <c r="Z395" s="156">
        <f>+POWER(X395/S395,0.2)-1</f>
        <v>-3.0252559701971826E-2</v>
      </c>
    </row>
    <row r="396" spans="1:26" ht="25.5" x14ac:dyDescent="0.25">
      <c r="A396" s="135" t="s">
        <v>15</v>
      </c>
      <c r="B396" s="138">
        <f t="shared" ref="B396:I396" si="1132">+B395/B$539</f>
        <v>0.90712296353205246</v>
      </c>
      <c r="C396" s="138">
        <f t="shared" si="1132"/>
        <v>0.82246124416456801</v>
      </c>
      <c r="D396" s="138">
        <f t="shared" si="1132"/>
        <v>1.0050879320271795</v>
      </c>
      <c r="E396" s="138">
        <f t="shared" si="1132"/>
        <v>1.034527924135435</v>
      </c>
      <c r="F396" s="138">
        <f t="shared" si="1132"/>
        <v>1.113203340271528</v>
      </c>
      <c r="G396" s="138">
        <f t="shared" si="1132"/>
        <v>0.7509945830132525</v>
      </c>
      <c r="H396" s="138">
        <f t="shared" si="1132"/>
        <v>0.66797631089982235</v>
      </c>
      <c r="I396" s="138">
        <f t="shared" si="1132"/>
        <v>0.60938320975407001</v>
      </c>
      <c r="J396" s="139">
        <f t="shared" ref="J396" si="1133">+J395/J$539</f>
        <v>0.58932169512878385</v>
      </c>
      <c r="K396" s="139"/>
      <c r="L396" s="140"/>
      <c r="M396" s="3"/>
      <c r="N396" s="135" t="s">
        <v>15</v>
      </c>
      <c r="O396" s="138">
        <f t="shared" ref="O396:T396" si="1134">+O395/O$539</f>
        <v>0.92429459673131309</v>
      </c>
      <c r="P396" s="138">
        <f t="shared" si="1134"/>
        <v>0.84971700261544636</v>
      </c>
      <c r="Q396" s="138">
        <f t="shared" si="1134"/>
        <v>0.88543683435978027</v>
      </c>
      <c r="R396" s="138">
        <f t="shared" si="1134"/>
        <v>1.0462757262059839</v>
      </c>
      <c r="S396" s="138">
        <f t="shared" si="1134"/>
        <v>1.1430007123864696</v>
      </c>
      <c r="T396" s="138">
        <f t="shared" si="1134"/>
        <v>0.85810063549320204</v>
      </c>
      <c r="U396" s="138">
        <f t="shared" ref="U396:X396" si="1135">+U395/U$539</f>
        <v>0.72781417186530095</v>
      </c>
      <c r="V396" s="138">
        <f t="shared" si="1135"/>
        <v>0.6214403774613475</v>
      </c>
      <c r="W396" s="139">
        <f t="shared" si="1135"/>
        <v>0.59388279545695211</v>
      </c>
      <c r="X396" s="139">
        <f t="shared" si="1135"/>
        <v>0.59211848998829264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136">+D395/C395-1</f>
        <v>2.2563849099469735E-2</v>
      </c>
      <c r="E397" s="142">
        <f t="shared" si="1136"/>
        <v>-0.10545483796911792</v>
      </c>
      <c r="F397" s="142">
        <f t="shared" si="1136"/>
        <v>-0.17748666998000562</v>
      </c>
      <c r="G397" s="142">
        <f t="shared" si="1136"/>
        <v>-3.3249997408192455E-2</v>
      </c>
      <c r="H397" s="142">
        <f t="shared" si="1136"/>
        <v>-7.694385135261439E-3</v>
      </c>
      <c r="I397" s="142">
        <f t="shared" ref="I397:J397" si="1137">+I395/H395-1</f>
        <v>8.0169578912314687E-3</v>
      </c>
      <c r="J397" s="143">
        <f t="shared" si="1137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138">+Q395/P395-1</f>
        <v>6.3106064205502355E-2</v>
      </c>
      <c r="R397" s="142">
        <f t="shared" si="1138"/>
        <v>-5.2105559884204733E-2</v>
      </c>
      <c r="S397" s="142">
        <f t="shared" si="1138"/>
        <v>-0.16392690221596451</v>
      </c>
      <c r="T397" s="142">
        <f t="shared" si="1138"/>
        <v>-0.12043861554696145</v>
      </c>
      <c r="U397" s="142">
        <f t="shared" si="1138"/>
        <v>3.7439665747616147E-2</v>
      </c>
      <c r="V397" s="142">
        <f t="shared" si="1138"/>
        <v>-4.1589773126095797E-2</v>
      </c>
      <c r="W397" s="143">
        <f t="shared" ref="W397" si="1139">+W395/V395-1</f>
        <v>-1.2622340633004714E-2</v>
      </c>
      <c r="X397" s="143">
        <f t="shared" ref="X397" si="1140">+X395/W395-1</f>
        <v>-6.8165576013962115E-3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47" t="s">
        <v>141</v>
      </c>
      <c r="B399" s="348"/>
      <c r="C399" s="348"/>
      <c r="D399" s="348"/>
      <c r="E399" s="348"/>
      <c r="F399" s="348"/>
      <c r="G399" s="348"/>
      <c r="H399" s="348"/>
      <c r="I399" s="348"/>
      <c r="J399" s="348"/>
      <c r="K399" s="348"/>
      <c r="L399" s="349"/>
      <c r="M399" s="2"/>
      <c r="N399" s="347" t="s">
        <v>142</v>
      </c>
      <c r="O399" s="348"/>
      <c r="P399" s="348"/>
      <c r="Q399" s="348"/>
      <c r="R399" s="348"/>
      <c r="S399" s="348"/>
      <c r="T399" s="348"/>
      <c r="U399" s="348"/>
      <c r="V399" s="348"/>
      <c r="W399" s="348"/>
      <c r="X399" s="348"/>
      <c r="Y399" s="348"/>
      <c r="Z399" s="34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141">+C400+1</f>
        <v>2018</v>
      </c>
      <c r="E400" s="129">
        <f t="shared" ref="E400" si="1142">+D400+1</f>
        <v>2019</v>
      </c>
      <c r="F400" s="129">
        <f t="shared" ref="F400" si="1143">+E400+1</f>
        <v>2020</v>
      </c>
      <c r="G400" s="129">
        <f t="shared" ref="G400" si="1144">+F400+1</f>
        <v>2021</v>
      </c>
      <c r="H400" s="129">
        <f t="shared" ref="H400" si="1145">+G400+1</f>
        <v>2022</v>
      </c>
      <c r="I400" s="129">
        <f t="shared" ref="I400" si="1146">+H400+1</f>
        <v>2023</v>
      </c>
      <c r="J400" s="130">
        <f t="shared" ref="J400:K400" si="1147">+I400+1</f>
        <v>2024</v>
      </c>
      <c r="K400" s="130">
        <f t="shared" si="1147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148">+P400+1</f>
        <v>2018</v>
      </c>
      <c r="R400" s="129">
        <f t="shared" si="1148"/>
        <v>2019</v>
      </c>
      <c r="S400" s="129">
        <f t="shared" si="1148"/>
        <v>2020</v>
      </c>
      <c r="T400" s="129">
        <f t="shared" si="1148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149">+B222/B43</f>
        <v>3.1696558458713877</v>
      </c>
      <c r="C401" s="158">
        <f t="shared" si="1149"/>
        <v>3.50699402482554</v>
      </c>
      <c r="D401" s="158">
        <f t="shared" si="1149"/>
        <v>4.2087328447789751</v>
      </c>
      <c r="E401" s="158">
        <f t="shared" si="1149"/>
        <v>1.4303046894182667</v>
      </c>
      <c r="F401" s="158">
        <f t="shared" si="1149"/>
        <v>1.182043110234672</v>
      </c>
      <c r="G401" s="158">
        <f t="shared" si="1149"/>
        <v>2.0937419701535847</v>
      </c>
      <c r="H401" s="158">
        <f t="shared" ref="H401:J401" si="1150">+H222/H43</f>
        <v>4.8451267780730234</v>
      </c>
      <c r="I401" s="158">
        <f t="shared" si="1150"/>
        <v>4.4038306336305224</v>
      </c>
      <c r="J401" s="180">
        <f t="shared" si="1150"/>
        <v>4.0345665606992567</v>
      </c>
      <c r="K401" s="180">
        <f t="shared" ref="K401:K403" si="1151">+K222/K43</f>
        <v>3.462625990272008</v>
      </c>
      <c r="L401" s="127">
        <f>+K401/J401-1</f>
        <v>-0.14176010280720763</v>
      </c>
      <c r="M401" s="2"/>
      <c r="N401" s="133" t="s">
        <v>10</v>
      </c>
      <c r="O401" s="158">
        <f t="shared" ref="O401:U412" si="1152">+O222/O43</f>
        <v>3.2454869276217302</v>
      </c>
      <c r="P401" s="158">
        <f t="shared" si="1152"/>
        <v>3.2905023147628034</v>
      </c>
      <c r="Q401" s="158">
        <f t="shared" si="1152"/>
        <v>3.9726390631520134</v>
      </c>
      <c r="R401" s="158">
        <f t="shared" si="1152"/>
        <v>2.6272743302679222</v>
      </c>
      <c r="S401" s="158">
        <f t="shared" si="1152"/>
        <v>1.9280766629478896</v>
      </c>
      <c r="T401" s="158">
        <f t="shared" si="1152"/>
        <v>1.563922534002437</v>
      </c>
      <c r="U401" s="158">
        <f t="shared" si="1152"/>
        <v>2.4907495533592381</v>
      </c>
      <c r="V401" s="158">
        <f t="shared" ref="V401:X403" si="1153">+V222/V43</f>
        <v>4.0697776147595528</v>
      </c>
      <c r="W401" s="180">
        <f t="shared" si="1153"/>
        <v>4.3479159488118917</v>
      </c>
      <c r="X401" s="180">
        <f t="shared" si="1153"/>
        <v>3.5052349488593113</v>
      </c>
      <c r="Y401" s="147">
        <f>+X401/W401-1</f>
        <v>-0.1938126242258319</v>
      </c>
      <c r="Z401" s="127">
        <f>+POWER(X401/S401,0.2)-1</f>
        <v>0.12698611929959602</v>
      </c>
    </row>
    <row r="402" spans="1:26" x14ac:dyDescent="0.25">
      <c r="A402" s="133" t="s">
        <v>11</v>
      </c>
      <c r="B402" s="158">
        <f t="shared" si="1149"/>
        <v>3.1446680864837782</v>
      </c>
      <c r="C402" s="158">
        <f t="shared" si="1149"/>
        <v>3.5637854452326381</v>
      </c>
      <c r="D402" s="158">
        <f t="shared" si="1149"/>
        <v>4.0166992552902094</v>
      </c>
      <c r="E402" s="158">
        <f t="shared" si="1149"/>
        <v>1.6735676189287225</v>
      </c>
      <c r="F402" s="158">
        <f t="shared" si="1149"/>
        <v>1.6532754410142303</v>
      </c>
      <c r="G402" s="158">
        <f t="shared" si="1149"/>
        <v>1.2424790239765369</v>
      </c>
      <c r="H402" s="158">
        <f t="shared" ref="H402:J402" si="1154">+H223/H44</f>
        <v>3.9283214996186482</v>
      </c>
      <c r="I402" s="158">
        <f t="shared" si="1154"/>
        <v>4.0684137788215269</v>
      </c>
      <c r="J402" s="180">
        <f t="shared" si="1154"/>
        <v>4.7289076663387242</v>
      </c>
      <c r="K402" s="180">
        <f t="shared" si="1151"/>
        <v>4.3034515242132469</v>
      </c>
      <c r="L402" s="127">
        <f>+K402/J402-1</f>
        <v>-8.9969221677546396E-2</v>
      </c>
      <c r="M402" s="2"/>
      <c r="N402" s="133" t="s">
        <v>11</v>
      </c>
      <c r="O402" s="158">
        <f t="shared" si="1152"/>
        <v>3.2489821691453153</v>
      </c>
      <c r="P402" s="158">
        <f t="shared" si="1152"/>
        <v>3.3199383278310508</v>
      </c>
      <c r="Q402" s="158">
        <f t="shared" si="1152"/>
        <v>4.0080062813302879</v>
      </c>
      <c r="R402" s="158">
        <f t="shared" si="1152"/>
        <v>2.4770874638257752</v>
      </c>
      <c r="S402" s="158">
        <f t="shared" si="1152"/>
        <v>1.9217288548896112</v>
      </c>
      <c r="T402" s="158">
        <f t="shared" si="1152"/>
        <v>1.529064581638832</v>
      </c>
      <c r="U402" s="158">
        <f t="shared" si="1152"/>
        <v>2.7602900532181369</v>
      </c>
      <c r="V402" s="158">
        <f t="shared" ref="V402:W412" si="1155">+V223/V44</f>
        <v>4.0851332572218979</v>
      </c>
      <c r="W402" s="180">
        <f t="shared" si="1155"/>
        <v>4.3940753802194976</v>
      </c>
      <c r="X402" s="180">
        <f t="shared" si="1153"/>
        <v>3.4855505731175698</v>
      </c>
      <c r="Y402" s="147">
        <f>+X402/W402-1</f>
        <v>-0.20676131574614554</v>
      </c>
      <c r="Z402" s="127">
        <f>+POWER(X402/S402,0.2)-1</f>
        <v>0.1264602093037126</v>
      </c>
    </row>
    <row r="403" spans="1:26" x14ac:dyDescent="0.25">
      <c r="A403" s="133" t="s">
        <v>0</v>
      </c>
      <c r="B403" s="158">
        <f t="shared" si="1149"/>
        <v>3.4773702364697217</v>
      </c>
      <c r="C403" s="158">
        <f t="shared" si="1149"/>
        <v>3.9686602055569655</v>
      </c>
      <c r="D403" s="158">
        <f t="shared" si="1149"/>
        <v>4.2638471563468876</v>
      </c>
      <c r="E403" s="158">
        <f t="shared" si="1149"/>
        <v>2.3518567270759605</v>
      </c>
      <c r="F403" s="158">
        <f t="shared" si="1149"/>
        <v>1.521915389015247</v>
      </c>
      <c r="G403" s="158">
        <f t="shared" si="1149"/>
        <v>1.6193535988023802</v>
      </c>
      <c r="H403" s="158">
        <f t="shared" ref="H403:J403" si="1156">+H224/H45</f>
        <v>4.7989667727914682</v>
      </c>
      <c r="I403" s="158">
        <f t="shared" si="1156"/>
        <v>4.2307922033965788</v>
      </c>
      <c r="J403" s="180">
        <f t="shared" si="1156"/>
        <v>1.5530705334846431</v>
      </c>
      <c r="K403" s="180">
        <f t="shared" si="1151"/>
        <v>4.5802590953177029</v>
      </c>
      <c r="L403" s="127">
        <f>+K403/J403-1</f>
        <v>1.949163606266433</v>
      </c>
      <c r="M403" s="2"/>
      <c r="N403" s="133" t="s">
        <v>0</v>
      </c>
      <c r="O403" s="158">
        <f t="shared" si="1152"/>
        <v>3.2770483830368358</v>
      </c>
      <c r="P403" s="158">
        <f t="shared" si="1152"/>
        <v>3.3534202693986037</v>
      </c>
      <c r="Q403" s="158">
        <f t="shared" si="1152"/>
        <v>4.0285038460840381</v>
      </c>
      <c r="R403" s="158">
        <f t="shared" si="1152"/>
        <v>2.3992926122592664</v>
      </c>
      <c r="S403" s="158">
        <f t="shared" si="1152"/>
        <v>1.8449292052523012</v>
      </c>
      <c r="T403" s="158">
        <f t="shared" si="1152"/>
        <v>1.5363839777557058</v>
      </c>
      <c r="U403" s="158">
        <f t="shared" si="1152"/>
        <v>2.9831363323699756</v>
      </c>
      <c r="V403" s="158">
        <f t="shared" si="1155"/>
        <v>4.054582947237825</v>
      </c>
      <c r="W403" s="180">
        <f t="shared" si="1155"/>
        <v>3.8980960971729068</v>
      </c>
      <c r="X403" s="180">
        <f t="shared" si="1153"/>
        <v>3.8589491590059919</v>
      </c>
      <c r="Y403" s="147">
        <f>+X403/W403-1</f>
        <v>-1.0042579041421362E-2</v>
      </c>
      <c r="Z403" s="127">
        <f>+POWER(X403/S403,0.2)-1</f>
        <v>0.15903852125829965</v>
      </c>
    </row>
    <row r="404" spans="1:26" x14ac:dyDescent="0.25">
      <c r="A404" s="133" t="s">
        <v>1</v>
      </c>
      <c r="B404" s="158">
        <f t="shared" si="1149"/>
        <v>2.9455544591335316</v>
      </c>
      <c r="C404" s="158">
        <f t="shared" si="1149"/>
        <v>3.5673087776581713</v>
      </c>
      <c r="D404" s="158">
        <f t="shared" si="1149"/>
        <v>4.0714655501921628</v>
      </c>
      <c r="E404" s="158">
        <f t="shared" si="1149"/>
        <v>2.0809943920783089</v>
      </c>
      <c r="F404" s="158">
        <f t="shared" si="1149"/>
        <v>1.4150023587178258</v>
      </c>
      <c r="G404" s="158">
        <f t="shared" si="1149"/>
        <v>2.3334864104175059</v>
      </c>
      <c r="H404" s="158">
        <f t="shared" ref="H404:J404" si="1157">+H225/H46</f>
        <v>3.2769813946375179</v>
      </c>
      <c r="I404" s="158">
        <f t="shared" si="1157"/>
        <v>4.2877827191999449</v>
      </c>
      <c r="J404" s="180">
        <f t="shared" si="1157"/>
        <v>1.675048939047826</v>
      </c>
      <c r="K404" s="180"/>
      <c r="L404" s="127"/>
      <c r="M404" s="2"/>
      <c r="N404" s="133" t="s">
        <v>1</v>
      </c>
      <c r="O404" s="158">
        <f t="shared" si="1152"/>
        <v>3.2424167314778551</v>
      </c>
      <c r="P404" s="158">
        <f t="shared" si="1152"/>
        <v>3.4138775017497691</v>
      </c>
      <c r="Q404" s="158">
        <f t="shared" si="1152"/>
        <v>4.0734446449533079</v>
      </c>
      <c r="R404" s="158">
        <f t="shared" si="1152"/>
        <v>2.3028455150301821</v>
      </c>
      <c r="S404" s="158">
        <f t="shared" si="1152"/>
        <v>1.7782636091070987</v>
      </c>
      <c r="T404" s="158">
        <f t="shared" si="1152"/>
        <v>1.6036643465528766</v>
      </c>
      <c r="U404" s="158">
        <f t="shared" si="1152"/>
        <v>3.0885094240100317</v>
      </c>
      <c r="V404" s="158">
        <f t="shared" si="1155"/>
        <v>4.1304676374612326</v>
      </c>
      <c r="W404" s="180">
        <f t="shared" ref="W404" si="1158">+W225/W46</f>
        <v>3.5272599818890504</v>
      </c>
      <c r="X404" s="180"/>
      <c r="Y404" s="147"/>
      <c r="Z404" s="127"/>
    </row>
    <row r="405" spans="1:26" x14ac:dyDescent="0.25">
      <c r="A405" s="133" t="s">
        <v>2</v>
      </c>
      <c r="B405" s="158">
        <f t="shared" si="1149"/>
        <v>2.9574226715632257</v>
      </c>
      <c r="C405" s="158">
        <f t="shared" si="1149"/>
        <v>3.9306389293688251</v>
      </c>
      <c r="D405" s="158">
        <f t="shared" si="1149"/>
        <v>4.1299647826096688</v>
      </c>
      <c r="E405" s="158">
        <f t="shared" si="1149"/>
        <v>2.0585026522159939</v>
      </c>
      <c r="F405" s="158">
        <f t="shared" si="1149"/>
        <v>1.2852645483165108</v>
      </c>
      <c r="G405" s="158">
        <f t="shared" si="1149"/>
        <v>2.0901720841038429</v>
      </c>
      <c r="H405" s="158">
        <f t="shared" ref="H405:J412" si="1159">+H226/H47</f>
        <v>4.50577804812922</v>
      </c>
      <c r="I405" s="158">
        <f t="shared" si="1159"/>
        <v>4.2917941708610021</v>
      </c>
      <c r="J405" s="180">
        <f t="shared" si="1159"/>
        <v>4.5719349557311126</v>
      </c>
      <c r="K405" s="180"/>
      <c r="L405" s="127"/>
      <c r="M405" s="2"/>
      <c r="N405" s="133" t="s">
        <v>2</v>
      </c>
      <c r="O405" s="158">
        <f t="shared" si="1152"/>
        <v>3.2169191251396536</v>
      </c>
      <c r="P405" s="158">
        <f t="shared" si="1152"/>
        <v>3.5064946965952242</v>
      </c>
      <c r="Q405" s="158">
        <f t="shared" si="1152"/>
        <v>4.0908464773311533</v>
      </c>
      <c r="R405" s="158">
        <f t="shared" si="1152"/>
        <v>2.2058901070226256</v>
      </c>
      <c r="S405" s="158">
        <f t="shared" si="1152"/>
        <v>1.6922510351575755</v>
      </c>
      <c r="T405" s="158">
        <f t="shared" si="1152"/>
        <v>1.6850899108571578</v>
      </c>
      <c r="U405" s="158">
        <f t="shared" si="1152"/>
        <v>3.3553008937509277</v>
      </c>
      <c r="V405" s="158">
        <f t="shared" si="1155"/>
        <v>4.0955160677607596</v>
      </c>
      <c r="W405" s="180">
        <f t="shared" ref="W405:W409" si="1160">+W226/W47</f>
        <v>3.5600830200307922</v>
      </c>
      <c r="X405" s="180"/>
      <c r="Y405" s="147"/>
      <c r="Z405" s="127"/>
    </row>
    <row r="406" spans="1:26" x14ac:dyDescent="0.25">
      <c r="A406" s="133" t="s">
        <v>3</v>
      </c>
      <c r="B406" s="158">
        <f t="shared" si="1149"/>
        <v>2.8237358978368059</v>
      </c>
      <c r="C406" s="158">
        <f t="shared" si="1149"/>
        <v>4.0627736517340614</v>
      </c>
      <c r="D406" s="158">
        <f t="shared" si="1149"/>
        <v>4.1847022287285798</v>
      </c>
      <c r="E406" s="158">
        <f t="shared" si="1149"/>
        <v>2.5757523182055286</v>
      </c>
      <c r="F406" s="158">
        <f t="shared" si="1149"/>
        <v>1.4919728220440216</v>
      </c>
      <c r="G406" s="158">
        <f t="shared" si="1149"/>
        <v>2.287207666270155</v>
      </c>
      <c r="H406" s="158">
        <f t="shared" si="1159"/>
        <v>2.8659389273200016</v>
      </c>
      <c r="I406" s="158">
        <f t="shared" si="1159"/>
        <v>4.1136555812958919</v>
      </c>
      <c r="J406" s="180">
        <f t="shared" si="1159"/>
        <v>4.4707375027684044</v>
      </c>
      <c r="K406" s="180"/>
      <c r="L406" s="127"/>
      <c r="M406" s="2"/>
      <c r="N406" s="133" t="s">
        <v>3</v>
      </c>
      <c r="O406" s="158">
        <f t="shared" si="1152"/>
        <v>3.1970590549158011</v>
      </c>
      <c r="P406" s="158">
        <f t="shared" si="1152"/>
        <v>3.614778374133671</v>
      </c>
      <c r="Q406" s="158">
        <f t="shared" si="1152"/>
        <v>4.1008351180822418</v>
      </c>
      <c r="R406" s="158">
        <f t="shared" si="1152"/>
        <v>2.1460561754893503</v>
      </c>
      <c r="S406" s="158">
        <f t="shared" si="1152"/>
        <v>1.6426178359000121</v>
      </c>
      <c r="T406" s="158">
        <f t="shared" si="1152"/>
        <v>1.7317275894351958</v>
      </c>
      <c r="U406" s="158">
        <f t="shared" si="1152"/>
        <v>3.4361898414448846</v>
      </c>
      <c r="V406" s="158">
        <f t="shared" si="1155"/>
        <v>4.3007244140163774</v>
      </c>
      <c r="W406" s="180">
        <f t="shared" si="1160"/>
        <v>3.5472981204779637</v>
      </c>
      <c r="X406" s="180"/>
      <c r="Y406" s="147"/>
      <c r="Z406" s="127"/>
    </row>
    <row r="407" spans="1:26" x14ac:dyDescent="0.25">
      <c r="A407" s="133" t="s">
        <v>4</v>
      </c>
      <c r="B407" s="158">
        <f t="shared" si="1149"/>
        <v>3.7423742716040946</v>
      </c>
      <c r="C407" s="158">
        <f t="shared" si="1149"/>
        <v>3.960018040913948</v>
      </c>
      <c r="D407" s="158">
        <f t="shared" si="1149"/>
        <v>2.6114382268987697</v>
      </c>
      <c r="E407" s="158">
        <f t="shared" si="1149"/>
        <v>2.2831575573110237</v>
      </c>
      <c r="F407" s="158">
        <f t="shared" si="1149"/>
        <v>2.0637903095058885</v>
      </c>
      <c r="G407" s="158">
        <f t="shared" si="1149"/>
        <v>3.124276066539029</v>
      </c>
      <c r="H407" s="158">
        <f t="shared" si="1159"/>
        <v>4.209807360953727</v>
      </c>
      <c r="I407" s="158">
        <f t="shared" si="1159"/>
        <v>4.6779610503154316</v>
      </c>
      <c r="J407" s="180">
        <f t="shared" si="1159"/>
        <v>3.9400857492617325</v>
      </c>
      <c r="K407" s="180"/>
      <c r="L407" s="127"/>
      <c r="M407" s="2"/>
      <c r="N407" s="133" t="s">
        <v>4</v>
      </c>
      <c r="O407" s="158">
        <f t="shared" si="1152"/>
        <v>3.2116215246282622</v>
      </c>
      <c r="P407" s="158">
        <f t="shared" si="1152"/>
        <v>3.636350780550579</v>
      </c>
      <c r="Q407" s="158">
        <f t="shared" si="1152"/>
        <v>3.8938391370925851</v>
      </c>
      <c r="R407" s="158">
        <f t="shared" si="1152"/>
        <v>2.1211698021426217</v>
      </c>
      <c r="S407" s="158">
        <f t="shared" si="1152"/>
        <v>1.6297711180698384</v>
      </c>
      <c r="T407" s="158">
        <f t="shared" si="1152"/>
        <v>1.7801785327438135</v>
      </c>
      <c r="U407" s="158">
        <f t="shared" si="1152"/>
        <v>3.5021812515418653</v>
      </c>
      <c r="V407" s="158">
        <f t="shared" si="1155"/>
        <v>4.3438960206545731</v>
      </c>
      <c r="W407" s="180">
        <f t="shared" si="1160"/>
        <v>3.4944059727140178</v>
      </c>
      <c r="X407" s="180"/>
      <c r="Y407" s="147"/>
      <c r="Z407" s="127"/>
    </row>
    <row r="408" spans="1:26" x14ac:dyDescent="0.25">
      <c r="A408" s="133" t="s">
        <v>5</v>
      </c>
      <c r="B408" s="158">
        <f t="shared" si="1149"/>
        <v>3.4689124810278322</v>
      </c>
      <c r="C408" s="158">
        <f t="shared" si="1149"/>
        <v>4.0274258120694242</v>
      </c>
      <c r="D408" s="158">
        <f t="shared" si="1149"/>
        <v>2.5363304849507431</v>
      </c>
      <c r="E408" s="158">
        <f t="shared" si="1149"/>
        <v>2.0287013345954521</v>
      </c>
      <c r="F408" s="158">
        <f t="shared" si="1149"/>
        <v>1.3497907370137525</v>
      </c>
      <c r="G408" s="158">
        <f t="shared" si="1149"/>
        <v>2.6516980143817701</v>
      </c>
      <c r="H408" s="158">
        <f t="shared" si="1159"/>
        <v>4.6925799225775977</v>
      </c>
      <c r="I408" s="158">
        <f t="shared" si="1159"/>
        <v>4.9984661083423498</v>
      </c>
      <c r="J408" s="180">
        <f t="shared" ref="J408" si="1161">+J229/J50</f>
        <v>3.3022217509024059</v>
      </c>
      <c r="K408" s="180"/>
      <c r="L408" s="127"/>
      <c r="M408" s="2"/>
      <c r="N408" s="133" t="s">
        <v>5</v>
      </c>
      <c r="O408" s="158">
        <f t="shared" si="1152"/>
        <v>3.2495608830966054</v>
      </c>
      <c r="P408" s="158">
        <f t="shared" si="1152"/>
        <v>3.6896668838074245</v>
      </c>
      <c r="Q408" s="158">
        <f t="shared" si="1152"/>
        <v>3.6645087782051364</v>
      </c>
      <c r="R408" s="158">
        <f t="shared" si="1152"/>
        <v>2.0754212848139217</v>
      </c>
      <c r="S408" s="158">
        <f t="shared" si="1152"/>
        <v>1.5653915183677769</v>
      </c>
      <c r="T408" s="158">
        <f t="shared" si="1152"/>
        <v>1.8872596992097095</v>
      </c>
      <c r="U408" s="158">
        <f t="shared" si="1152"/>
        <v>3.6824614143516254</v>
      </c>
      <c r="V408" s="158">
        <f t="shared" si="1155"/>
        <v>4.3320616697548564</v>
      </c>
      <c r="W408" s="180">
        <f t="shared" si="1160"/>
        <v>3.4117578693710842</v>
      </c>
      <c r="X408" s="180"/>
      <c r="Y408" s="147"/>
      <c r="Z408" s="127"/>
    </row>
    <row r="409" spans="1:26" x14ac:dyDescent="0.25">
      <c r="A409" s="133" t="s">
        <v>6</v>
      </c>
      <c r="B409" s="158">
        <f t="shared" si="1149"/>
        <v>3.2257788135302787</v>
      </c>
      <c r="C409" s="158">
        <f t="shared" si="1149"/>
        <v>4.0833160099215151</v>
      </c>
      <c r="D409" s="158">
        <f t="shared" si="1149"/>
        <v>2.7559103900609627</v>
      </c>
      <c r="E409" s="158">
        <f t="shared" si="1149"/>
        <v>2.562209732534797</v>
      </c>
      <c r="F409" s="158">
        <f t="shared" si="1149"/>
        <v>1.8112560245327916</v>
      </c>
      <c r="G409" s="158">
        <f t="shared" si="1149"/>
        <v>3.5912912597211788</v>
      </c>
      <c r="H409" s="158">
        <f t="shared" si="1159"/>
        <v>4.8105357637505382</v>
      </c>
      <c r="I409" s="158">
        <f>+I230/I51</f>
        <v>4.2991740469902417</v>
      </c>
      <c r="J409" s="180">
        <f t="shared" ref="J409:J412" si="1162">+J230/J51</f>
        <v>4.5691554205787375</v>
      </c>
      <c r="K409" s="180"/>
      <c r="L409" s="127"/>
      <c r="M409" s="2"/>
      <c r="N409" s="133" t="s">
        <v>6</v>
      </c>
      <c r="O409" s="158">
        <f t="shared" si="1152"/>
        <v>3.2271725053105067</v>
      </c>
      <c r="P409" s="158">
        <f t="shared" si="1152"/>
        <v>3.76703663659426</v>
      </c>
      <c r="Q409" s="158">
        <f t="shared" si="1152"/>
        <v>3.5458857612350902</v>
      </c>
      <c r="R409" s="158">
        <f t="shared" si="1152"/>
        <v>2.0692468254253722</v>
      </c>
      <c r="S409" s="158">
        <f t="shared" si="1152"/>
        <v>1.5304944103482176</v>
      </c>
      <c r="T409" s="158">
        <f t="shared" si="1152"/>
        <v>1.9941430960420146</v>
      </c>
      <c r="U409" s="158">
        <f t="shared" si="1152"/>
        <v>3.7803220374515627</v>
      </c>
      <c r="V409" s="158">
        <f t="shared" si="1155"/>
        <v>4.2698077726849935</v>
      </c>
      <c r="W409" s="180">
        <f t="shared" si="1160"/>
        <v>3.4243636520900465</v>
      </c>
      <c r="X409" s="180"/>
      <c r="Y409" s="147"/>
      <c r="Z409" s="127"/>
    </row>
    <row r="410" spans="1:26" x14ac:dyDescent="0.25">
      <c r="A410" s="133" t="s">
        <v>7</v>
      </c>
      <c r="B410" s="158">
        <f t="shared" si="1149"/>
        <v>3.7599850224663007</v>
      </c>
      <c r="C410" s="158">
        <f t="shared" si="1149"/>
        <v>4.2468625778118065</v>
      </c>
      <c r="D410" s="158">
        <f t="shared" si="1149"/>
        <v>2.8680613740611181</v>
      </c>
      <c r="E410" s="158">
        <f t="shared" si="1149"/>
        <v>2.0027022136589778</v>
      </c>
      <c r="F410" s="158">
        <f t="shared" si="1149"/>
        <v>1.5041435559754193</v>
      </c>
      <c r="G410" s="158">
        <f t="shared" si="1149"/>
        <v>2.8469606067298656</v>
      </c>
      <c r="H410" s="158">
        <f t="shared" si="1159"/>
        <v>4.454840692079177</v>
      </c>
      <c r="I410" s="158">
        <f t="shared" si="1159"/>
        <v>4.2956150123920445</v>
      </c>
      <c r="J410" s="180">
        <f t="shared" si="1162"/>
        <v>5.5170229301775766</v>
      </c>
      <c r="K410" s="180"/>
      <c r="L410" s="127"/>
      <c r="M410" s="2"/>
      <c r="N410" s="133" t="s">
        <v>7</v>
      </c>
      <c r="O410" s="158">
        <f t="shared" si="1152"/>
        <v>3.24564216361521</v>
      </c>
      <c r="P410" s="158">
        <f t="shared" si="1152"/>
        <v>3.8219433026453302</v>
      </c>
      <c r="Q410" s="158">
        <f t="shared" si="1152"/>
        <v>3.3845958997622709</v>
      </c>
      <c r="R410" s="158">
        <f t="shared" si="1152"/>
        <v>2.0004439991371799</v>
      </c>
      <c r="S410" s="158">
        <f t="shared" si="1152"/>
        <v>1.4950173497564303</v>
      </c>
      <c r="T410" s="158">
        <f t="shared" si="1152"/>
        <v>2.1090315581271586</v>
      </c>
      <c r="U410" s="158">
        <f t="shared" si="1152"/>
        <v>3.9753320904556033</v>
      </c>
      <c r="V410" s="158">
        <f t="shared" si="1155"/>
        <v>4.2569529799966981</v>
      </c>
      <c r="W410" s="180">
        <f t="shared" si="1155"/>
        <v>3.5554803448620684</v>
      </c>
      <c r="X410" s="180"/>
      <c r="Y410" s="147"/>
      <c r="Z410" s="127"/>
    </row>
    <row r="411" spans="1:26" x14ac:dyDescent="0.25">
      <c r="A411" s="133" t="s">
        <v>8</v>
      </c>
      <c r="B411" s="158">
        <f t="shared" ref="B411:G413" si="1163">+B232/B53</f>
        <v>3.2565976651725874</v>
      </c>
      <c r="C411" s="158">
        <f t="shared" si="1163"/>
        <v>3.8146300016134838</v>
      </c>
      <c r="D411" s="158">
        <f t="shared" si="1163"/>
        <v>2.0692772026100936</v>
      </c>
      <c r="E411" s="158">
        <f t="shared" si="1163"/>
        <v>2.1400097191573821</v>
      </c>
      <c r="F411" s="158">
        <f t="shared" si="1163"/>
        <v>1.9177789896326929</v>
      </c>
      <c r="G411" s="158">
        <f t="shared" si="1163"/>
        <v>3.250301791076502</v>
      </c>
      <c r="H411" s="158">
        <f t="shared" si="1159"/>
        <v>3.3220470174756178</v>
      </c>
      <c r="I411" s="158">
        <f t="shared" si="1159"/>
        <v>4.3014462072814963</v>
      </c>
      <c r="J411" s="180">
        <f t="shared" si="1162"/>
        <v>4.4248138879020686</v>
      </c>
      <c r="K411" s="180"/>
      <c r="L411" s="127"/>
      <c r="M411" s="2"/>
      <c r="N411" s="133" t="s">
        <v>8</v>
      </c>
      <c r="O411" s="158">
        <f t="shared" ref="O411:S413" si="1164">+O232/O53</f>
        <v>3.228952650200883</v>
      </c>
      <c r="P411" s="158">
        <f t="shared" si="1164"/>
        <v>3.865728343613315</v>
      </c>
      <c r="Q411" s="158">
        <f t="shared" si="1164"/>
        <v>3.2213099303126747</v>
      </c>
      <c r="R411" s="158">
        <f t="shared" si="1164"/>
        <v>2.0056907367599588</v>
      </c>
      <c r="S411" s="158">
        <f t="shared" si="1164"/>
        <v>1.4867754784607514</v>
      </c>
      <c r="T411" s="158">
        <f t="shared" ref="T411" si="1165">+T232/T53</f>
        <v>2.1944170513676893</v>
      </c>
      <c r="U411" s="158">
        <f t="shared" si="1152"/>
        <v>4.0285609373646629</v>
      </c>
      <c r="V411" s="158">
        <f t="shared" si="1155"/>
        <v>4.3568301180134865</v>
      </c>
      <c r="W411" s="180">
        <f t="shared" si="1155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163"/>
        <v>3.48780763278614</v>
      </c>
      <c r="C412" s="158">
        <f t="shared" si="1163"/>
        <v>4.2118215921924396</v>
      </c>
      <c r="D412" s="158">
        <f t="shared" si="1163"/>
        <v>1.5904802026765774</v>
      </c>
      <c r="E412" s="158">
        <f t="shared" si="1163"/>
        <v>1.229996342236124</v>
      </c>
      <c r="F412" s="158">
        <f t="shared" si="1163"/>
        <v>1.2401060692642625</v>
      </c>
      <c r="G412" s="158">
        <f t="shared" si="1163"/>
        <v>3.8213231839608945</v>
      </c>
      <c r="H412" s="158">
        <f t="shared" si="1159"/>
        <v>4.4086781790691889</v>
      </c>
      <c r="I412" s="158">
        <f t="shared" si="1159"/>
        <v>4.7141119221411198</v>
      </c>
      <c r="J412" s="180">
        <f t="shared" si="1162"/>
        <v>3.7502601872207446</v>
      </c>
      <c r="K412" s="180"/>
      <c r="L412" s="127"/>
      <c r="M412" s="2"/>
      <c r="N412" s="133" t="s">
        <v>9</v>
      </c>
      <c r="O412" s="158">
        <f t="shared" si="1164"/>
        <v>3.2671424005819008</v>
      </c>
      <c r="P412" s="158">
        <f t="shared" si="1164"/>
        <v>3.923565540112866</v>
      </c>
      <c r="Q412" s="158">
        <f t="shared" si="1164"/>
        <v>2.858525775919087</v>
      </c>
      <c r="R412" s="158">
        <f t="shared" si="1164"/>
        <v>1.9511555237252025</v>
      </c>
      <c r="S412" s="158">
        <f t="shared" si="1164"/>
        <v>1.4953904424016804</v>
      </c>
      <c r="T412" s="158">
        <f t="shared" ref="T412" si="1166">+T233/T54</f>
        <v>2.4085255870089997</v>
      </c>
      <c r="U412" s="158">
        <f t="shared" si="1152"/>
        <v>4.0835473754622305</v>
      </c>
      <c r="V412" s="158">
        <f t="shared" si="1155"/>
        <v>4.3761658171812181</v>
      </c>
      <c r="W412" s="180">
        <f t="shared" si="1155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163"/>
        <v>3.2671424005819012</v>
      </c>
      <c r="C413" s="182">
        <f t="shared" si="1163"/>
        <v>3.923565540112866</v>
      </c>
      <c r="D413" s="182">
        <f t="shared" si="1163"/>
        <v>2.858525775919087</v>
      </c>
      <c r="E413" s="182">
        <f t="shared" si="1163"/>
        <v>1.9511555237252025</v>
      </c>
      <c r="F413" s="182">
        <f t="shared" si="1163"/>
        <v>1.4953904424016804</v>
      </c>
      <c r="G413" s="182">
        <f t="shared" ref="G413:I413" si="1167">+G234/G55</f>
        <v>2.4085255870089997</v>
      </c>
      <c r="H413" s="182">
        <f t="shared" si="1167"/>
        <v>4.0835473754622305</v>
      </c>
      <c r="I413" s="182">
        <f t="shared" si="1167"/>
        <v>4.3761658171812181</v>
      </c>
      <c r="J413" s="183">
        <f t="shared" ref="J413" si="1168">+J234/J55</f>
        <v>3.5355598841461728</v>
      </c>
      <c r="K413" s="183"/>
      <c r="L413" s="137"/>
      <c r="M413" s="3"/>
      <c r="N413" s="134" t="s">
        <v>14</v>
      </c>
      <c r="O413" s="182">
        <f t="shared" si="1164"/>
        <v>3.2380716318547629</v>
      </c>
      <c r="P413" s="182">
        <f t="shared" si="1164"/>
        <v>3.5879782715064956</v>
      </c>
      <c r="Q413" s="182">
        <f t="shared" si="1164"/>
        <v>3.6893939707813792</v>
      </c>
      <c r="R413" s="182">
        <f t="shared" si="1164"/>
        <v>2.1810484297707777</v>
      </c>
      <c r="S413" s="182">
        <f t="shared" si="1164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3.6095884900065371</v>
      </c>
      <c r="Y413" s="149">
        <f>+X413/W413-1</f>
        <v>-1.338145441627081E-2</v>
      </c>
      <c r="Z413" s="156">
        <f>+POWER(X413/S413,0.2)-1</f>
        <v>0.16890885776534348</v>
      </c>
    </row>
    <row r="414" spans="1:26" ht="25.5" x14ac:dyDescent="0.25">
      <c r="A414" s="135" t="s">
        <v>15</v>
      </c>
      <c r="B414" s="138">
        <f t="shared" ref="B414:I414" si="1169">+B413/B$539</f>
        <v>1.036980748851636</v>
      </c>
      <c r="C414" s="138">
        <f t="shared" si="1169"/>
        <v>1.0926571234917222</v>
      </c>
      <c r="D414" s="138">
        <f t="shared" si="1169"/>
        <v>0.95135648675373363</v>
      </c>
      <c r="E414" s="138">
        <f t="shared" si="1169"/>
        <v>0.74718637986865211</v>
      </c>
      <c r="F414" s="138">
        <f t="shared" si="1169"/>
        <v>0.7491710688162283</v>
      </c>
      <c r="G414" s="138">
        <f t="shared" si="1169"/>
        <v>0.84202654546093547</v>
      </c>
      <c r="H414" s="138">
        <f t="shared" si="1169"/>
        <v>1.2796491865104951</v>
      </c>
      <c r="I414" s="138">
        <f t="shared" si="1169"/>
        <v>1.2411054442692757</v>
      </c>
      <c r="J414" s="139">
        <f t="shared" ref="J414" si="1170">+J413/J$539</f>
        <v>1.0137595975708213</v>
      </c>
      <c r="K414" s="139"/>
      <c r="L414" s="140"/>
      <c r="M414" s="3"/>
      <c r="N414" s="135" t="s">
        <v>15</v>
      </c>
      <c r="O414" s="138">
        <f t="shared" ref="O414:T414" si="1171">+O413/O$539</f>
        <v>1.0416852365006624</v>
      </c>
      <c r="P414" s="138">
        <f t="shared" si="1171"/>
        <v>1.0648296189705322</v>
      </c>
      <c r="Q414" s="138">
        <f t="shared" si="1171"/>
        <v>1.0732280947846824</v>
      </c>
      <c r="R414" s="138">
        <f t="shared" si="1171"/>
        <v>0.79091697652136939</v>
      </c>
      <c r="S414" s="138">
        <f t="shared" si="1171"/>
        <v>0.78374743986475903</v>
      </c>
      <c r="T414" s="138">
        <f t="shared" si="1171"/>
        <v>0.72811780302220619</v>
      </c>
      <c r="U414" s="138">
        <f t="shared" ref="U414:X414" si="1172">+U413/U$539</f>
        <v>1.0959749449903564</v>
      </c>
      <c r="V414" s="138">
        <f t="shared" si="1172"/>
        <v>1.2413416559046953</v>
      </c>
      <c r="W414" s="139">
        <f t="shared" si="1172"/>
        <v>1.0430871922452289</v>
      </c>
      <c r="X414" s="139">
        <f t="shared" si="1172"/>
        <v>1.0331141161464472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173">+D413/C413-1</f>
        <v>-0.27144691564477907</v>
      </c>
      <c r="E415" s="142">
        <f t="shared" si="1173"/>
        <v>-0.31742594726197371</v>
      </c>
      <c r="F415" s="142">
        <f t="shared" si="1173"/>
        <v>-0.23358726446027345</v>
      </c>
      <c r="G415" s="142">
        <f t="shared" si="1173"/>
        <v>0.61063326253494932</v>
      </c>
      <c r="H415" s="142">
        <f t="shared" si="1173"/>
        <v>0.69545526005116587</v>
      </c>
      <c r="I415" s="142">
        <f t="shared" ref="I415:J415" si="1174">+I413/H413-1</f>
        <v>7.1657902998092382E-2</v>
      </c>
      <c r="J415" s="143">
        <f t="shared" si="1174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175">+Q413/P413-1</f>
        <v>2.8265416231827434E-2</v>
      </c>
      <c r="R415" s="142">
        <f t="shared" si="1175"/>
        <v>-0.40883287416744707</v>
      </c>
      <c r="S415" s="142">
        <f t="shared" si="1175"/>
        <v>-0.24161604561186512</v>
      </c>
      <c r="T415" s="142">
        <f t="shared" si="1175"/>
        <v>8.84286037803379E-2</v>
      </c>
      <c r="U415" s="142">
        <f t="shared" si="1175"/>
        <v>0.84110916769852828</v>
      </c>
      <c r="V415" s="142">
        <f t="shared" si="1175"/>
        <v>0.27134430769209539</v>
      </c>
      <c r="W415" s="143">
        <f t="shared" ref="W415" si="1176">+W413/V413-1</f>
        <v>-0.13181694796008658</v>
      </c>
      <c r="X415" s="143">
        <f t="shared" ref="X415" si="1177">+X413/W413-1</f>
        <v>-1.338145441627081E-2</v>
      </c>
      <c r="Y415" s="144"/>
      <c r="Z415" s="145"/>
    </row>
    <row r="416" spans="1:26" ht="15.75" thickBot="1" x14ac:dyDescent="0.3"/>
    <row r="417" spans="1:26" ht="15.75" thickBot="1" x14ac:dyDescent="0.3">
      <c r="A417" s="347" t="s">
        <v>143</v>
      </c>
      <c r="B417" s="348"/>
      <c r="C417" s="348"/>
      <c r="D417" s="348"/>
      <c r="E417" s="348"/>
      <c r="F417" s="348"/>
      <c r="G417" s="348"/>
      <c r="H417" s="348"/>
      <c r="I417" s="348"/>
      <c r="J417" s="348"/>
      <c r="K417" s="348"/>
      <c r="L417" s="349"/>
      <c r="M417" s="2"/>
      <c r="N417" s="347" t="s">
        <v>144</v>
      </c>
      <c r="O417" s="348"/>
      <c r="P417" s="348"/>
      <c r="Q417" s="348"/>
      <c r="R417" s="348"/>
      <c r="S417" s="348"/>
      <c r="T417" s="348"/>
      <c r="U417" s="348"/>
      <c r="V417" s="348"/>
      <c r="W417" s="348"/>
      <c r="X417" s="348"/>
      <c r="Y417" s="348"/>
      <c r="Z417" s="34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178">+C418+1</f>
        <v>2018</v>
      </c>
      <c r="E418" s="129">
        <f t="shared" ref="E418" si="1179">+D418+1</f>
        <v>2019</v>
      </c>
      <c r="F418" s="129">
        <f t="shared" ref="F418" si="1180">+E418+1</f>
        <v>2020</v>
      </c>
      <c r="G418" s="129">
        <f t="shared" ref="G418" si="1181">+F418+1</f>
        <v>2021</v>
      </c>
      <c r="H418" s="129">
        <f t="shared" ref="H418" si="1182">+G418+1</f>
        <v>2022</v>
      </c>
      <c r="I418" s="129">
        <f t="shared" ref="I418" si="1183">+H418+1</f>
        <v>2023</v>
      </c>
      <c r="J418" s="130">
        <f t="shared" ref="J418:K418" si="1184">+I418+1</f>
        <v>2024</v>
      </c>
      <c r="K418" s="130">
        <f t="shared" si="1184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185">+P418+1</f>
        <v>2018</v>
      </c>
      <c r="R418" s="129">
        <f t="shared" si="1185"/>
        <v>2019</v>
      </c>
      <c r="S418" s="129">
        <f t="shared" si="1185"/>
        <v>2020</v>
      </c>
      <c r="T418" s="129">
        <f t="shared" si="1185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186">+B240/B61</f>
        <v>3.8716666383295002</v>
      </c>
      <c r="C419" s="158">
        <f t="shared" si="1186"/>
        <v>3.140753430653592</v>
      </c>
      <c r="D419" s="158">
        <f t="shared" si="1186"/>
        <v>3.8087342958709103</v>
      </c>
      <c r="E419" s="158">
        <f t="shared" si="1186"/>
        <v>3.449707936396806</v>
      </c>
      <c r="F419" s="158">
        <f t="shared" si="1186"/>
        <v>2.9658430932871607</v>
      </c>
      <c r="G419" s="158">
        <f t="shared" si="1186"/>
        <v>3.312726435906364</v>
      </c>
      <c r="H419" s="158">
        <f t="shared" ref="H419:J419" si="1187">+H240/H61</f>
        <v>3.1904686458242022</v>
      </c>
      <c r="I419" s="158">
        <f t="shared" si="1187"/>
        <v>3.2620447206569909</v>
      </c>
      <c r="J419" s="180">
        <f t="shared" si="1187"/>
        <v>3.4193986067469173</v>
      </c>
      <c r="K419" s="180">
        <f t="shared" ref="K419:K421" si="1188">+K240/K61</f>
        <v>3.8810149408288424</v>
      </c>
      <c r="L419" s="127">
        <f>+K419/J419-1</f>
        <v>0.13499927536119838</v>
      </c>
      <c r="M419" s="2"/>
      <c r="N419" s="133" t="s">
        <v>10</v>
      </c>
      <c r="O419" s="158">
        <f t="shared" ref="O419:U430" si="1189">+O240/O61</f>
        <v>3.8240676062425094</v>
      </c>
      <c r="P419" s="158">
        <f t="shared" si="1189"/>
        <v>3.1778579216640108</v>
      </c>
      <c r="Q419" s="158">
        <f t="shared" si="1189"/>
        <v>3.4137126417175763</v>
      </c>
      <c r="R419" s="158">
        <f t="shared" si="1189"/>
        <v>3.4718310226437499</v>
      </c>
      <c r="S419" s="158">
        <f t="shared" si="1189"/>
        <v>3.2576070754456254</v>
      </c>
      <c r="T419" s="158">
        <f t="shared" si="1189"/>
        <v>2.8860430174325251</v>
      </c>
      <c r="U419" s="158">
        <f t="shared" si="1189"/>
        <v>2.9618018208234287</v>
      </c>
      <c r="V419" s="158">
        <f t="shared" ref="V419:X421" si="1190">+V240/V61</f>
        <v>3.0930317522176671</v>
      </c>
      <c r="W419" s="180">
        <f t="shared" si="1190"/>
        <v>3.3527477705183246</v>
      </c>
      <c r="X419" s="180">
        <f t="shared" si="1190"/>
        <v>3.9457548153138315</v>
      </c>
      <c r="Y419" s="147">
        <f>+X419/W419-1</f>
        <v>0.17687195261450572</v>
      </c>
      <c r="Z419" s="127">
        <f>+POWER(X419/S419,0.2)-1</f>
        <v>3.9073524356282974E-2</v>
      </c>
    </row>
    <row r="420" spans="1:26" x14ac:dyDescent="0.25">
      <c r="A420" s="133" t="s">
        <v>11</v>
      </c>
      <c r="B420" s="158">
        <f t="shared" si="1186"/>
        <v>3.5263820748510311</v>
      </c>
      <c r="C420" s="158">
        <f t="shared" si="1186"/>
        <v>3.1037901576765914</v>
      </c>
      <c r="D420" s="158">
        <f t="shared" si="1186"/>
        <v>3.2729579441775094</v>
      </c>
      <c r="E420" s="158">
        <f t="shared" si="1186"/>
        <v>3.4984316808149774</v>
      </c>
      <c r="F420" s="158">
        <f t="shared" si="1186"/>
        <v>3.2416663062967164</v>
      </c>
      <c r="G420" s="158">
        <f t="shared" si="1186"/>
        <v>3.2408806751394947</v>
      </c>
      <c r="H420" s="158">
        <f t="shared" ref="H420:J420" si="1191">+H241/H62</f>
        <v>2.9667549358871446</v>
      </c>
      <c r="I420" s="158">
        <f t="shared" si="1191"/>
        <v>3.4568005742955941</v>
      </c>
      <c r="J420" s="180">
        <f t="shared" si="1191"/>
        <v>3.4587914407433327</v>
      </c>
      <c r="K420" s="180">
        <f t="shared" si="1188"/>
        <v>3.4523392805132551</v>
      </c>
      <c r="L420" s="127">
        <f>+K420/J420-1</f>
        <v>-1.8654377809755873E-3</v>
      </c>
      <c r="M420" s="2"/>
      <c r="N420" s="133" t="s">
        <v>11</v>
      </c>
      <c r="O420" s="158">
        <f t="shared" si="1189"/>
        <v>3.8367748255262875</v>
      </c>
      <c r="P420" s="158">
        <f t="shared" si="1189"/>
        <v>3.1613951736758872</v>
      </c>
      <c r="Q420" s="158">
        <f t="shared" si="1189"/>
        <v>3.422787453596527</v>
      </c>
      <c r="R420" s="158">
        <f t="shared" si="1189"/>
        <v>3.4844480161993925</v>
      </c>
      <c r="S420" s="158">
        <f t="shared" si="1189"/>
        <v>3.2443135594239219</v>
      </c>
      <c r="T420" s="158">
        <f t="shared" si="1189"/>
        <v>2.8867111985943215</v>
      </c>
      <c r="U420" s="158">
        <f t="shared" si="1189"/>
        <v>2.9499370177169233</v>
      </c>
      <c r="V420" s="158">
        <f t="shared" ref="V420:W430" si="1192">+V241/V62</f>
        <v>3.1242634515522778</v>
      </c>
      <c r="W420" s="180">
        <f t="shared" si="1192"/>
        <v>3.3512167674901101</v>
      </c>
      <c r="X420" s="180">
        <f t="shared" si="1190"/>
        <v>3.9507701955927739</v>
      </c>
      <c r="Y420" s="147">
        <f>+X420/W420-1</f>
        <v>0.17890619130307672</v>
      </c>
      <c r="Z420" s="127">
        <f>+POWER(X420/S420,0.2)-1</f>
        <v>4.0187880595694558E-2</v>
      </c>
    </row>
    <row r="421" spans="1:26" x14ac:dyDescent="0.25">
      <c r="A421" s="133" t="s">
        <v>0</v>
      </c>
      <c r="B421" s="158">
        <f t="shared" si="1186"/>
        <v>3.2764632012710817</v>
      </c>
      <c r="C421" s="158">
        <f t="shared" si="1186"/>
        <v>3.185540565197325</v>
      </c>
      <c r="D421" s="158">
        <f t="shared" si="1186"/>
        <v>3.4016848489694991</v>
      </c>
      <c r="E421" s="158">
        <f t="shared" si="1186"/>
        <v>3.3286381285362041</v>
      </c>
      <c r="F421" s="158">
        <f t="shared" si="1186"/>
        <v>3.214494447691409</v>
      </c>
      <c r="G421" s="158">
        <f t="shared" si="1186"/>
        <v>2.9321236804141426</v>
      </c>
      <c r="H421" s="158">
        <f t="shared" ref="H421:J421" si="1193">+H242/H63</f>
        <v>2.9085195426425208</v>
      </c>
      <c r="I421" s="158">
        <f t="shared" si="1193"/>
        <v>3.0100523998323072</v>
      </c>
      <c r="J421" s="180">
        <f t="shared" si="1193"/>
        <v>10.371422186208228</v>
      </c>
      <c r="K421" s="180">
        <f t="shared" si="1188"/>
        <v>3.693052673729655</v>
      </c>
      <c r="L421" s="127">
        <f>+K421/J421-1</f>
        <v>-0.64392032187826431</v>
      </c>
      <c r="M421" s="2"/>
      <c r="N421" s="133" t="s">
        <v>0</v>
      </c>
      <c r="O421" s="158">
        <f t="shared" si="1189"/>
        <v>3.7857101356366605</v>
      </c>
      <c r="P421" s="158">
        <f t="shared" si="1189"/>
        <v>3.1550394346946149</v>
      </c>
      <c r="Q421" s="158">
        <f t="shared" si="1189"/>
        <v>3.4342258543217303</v>
      </c>
      <c r="R421" s="158">
        <f t="shared" si="1189"/>
        <v>3.4808252556644268</v>
      </c>
      <c r="S421" s="158">
        <f t="shared" si="1189"/>
        <v>3.2377950267392075</v>
      </c>
      <c r="T421" s="158">
        <f t="shared" si="1189"/>
        <v>2.8787222529847161</v>
      </c>
      <c r="U421" s="158">
        <f t="shared" si="1189"/>
        <v>2.9483353243276067</v>
      </c>
      <c r="V421" s="158">
        <f t="shared" si="1192"/>
        <v>3.1296323912300723</v>
      </c>
      <c r="W421" s="180">
        <f t="shared" si="1192"/>
        <v>3.5826501240491968</v>
      </c>
      <c r="X421" s="180">
        <f t="shared" si="1190"/>
        <v>3.7730536222522404</v>
      </c>
      <c r="Y421" s="147">
        <f>+X421/W421-1</f>
        <v>5.3145992941070475E-2</v>
      </c>
      <c r="Z421" s="127">
        <f>+POWER(X421/S421,0.2)-1</f>
        <v>3.107136354353135E-2</v>
      </c>
    </row>
    <row r="422" spans="1:26" x14ac:dyDescent="0.25">
      <c r="A422" s="133" t="s">
        <v>1</v>
      </c>
      <c r="B422" s="158">
        <f t="shared" si="1186"/>
        <v>3.472687266813355</v>
      </c>
      <c r="C422" s="158">
        <f t="shared" si="1186"/>
        <v>3.4122466766567388</v>
      </c>
      <c r="D422" s="158">
        <f t="shared" si="1186"/>
        <v>3.5550880581229598</v>
      </c>
      <c r="E422" s="158">
        <f t="shared" si="1186"/>
        <v>3.2075515712543003</v>
      </c>
      <c r="F422" s="158">
        <f t="shared" si="1186"/>
        <v>3.1937715605171455</v>
      </c>
      <c r="G422" s="158">
        <f t="shared" si="1186"/>
        <v>3.1308561083766038</v>
      </c>
      <c r="H422" s="158">
        <f t="shared" ref="H422:J422" si="1194">+H243/H64</f>
        <v>3.189280913237984</v>
      </c>
      <c r="I422" s="158">
        <f t="shared" si="1194"/>
        <v>3.3063351716829628</v>
      </c>
      <c r="J422" s="180">
        <f t="shared" si="1194"/>
        <v>9.8866419386474842</v>
      </c>
      <c r="K422" s="180"/>
      <c r="L422" s="127"/>
      <c r="M422" s="2"/>
      <c r="N422" s="133" t="s">
        <v>1</v>
      </c>
      <c r="O422" s="158">
        <f t="shared" si="1189"/>
        <v>3.7540823445728728</v>
      </c>
      <c r="P422" s="158">
        <f t="shared" si="1189"/>
        <v>3.157822616515904</v>
      </c>
      <c r="Q422" s="158">
        <f t="shared" si="1189"/>
        <v>3.4461072228494931</v>
      </c>
      <c r="R422" s="158">
        <f t="shared" si="1189"/>
        <v>3.4489907593065792</v>
      </c>
      <c r="S422" s="158">
        <f t="shared" si="1189"/>
        <v>3.2386148386611584</v>
      </c>
      <c r="T422" s="158">
        <f t="shared" si="1189"/>
        <v>2.8885242569053591</v>
      </c>
      <c r="U422" s="158">
        <f t="shared" si="1189"/>
        <v>2.955354231844447</v>
      </c>
      <c r="V422" s="158">
        <f t="shared" si="1192"/>
        <v>3.1370754532034129</v>
      </c>
      <c r="W422" s="180">
        <f t="shared" ref="W422" si="1195">+W243/W64</f>
        <v>3.8147490485971667</v>
      </c>
      <c r="X422" s="180"/>
      <c r="Y422" s="147"/>
      <c r="Z422" s="127"/>
    </row>
    <row r="423" spans="1:26" x14ac:dyDescent="0.25">
      <c r="A423" s="133" t="s">
        <v>2</v>
      </c>
      <c r="B423" s="158">
        <f t="shared" si="1186"/>
        <v>3.0916143626581718</v>
      </c>
      <c r="C423" s="158">
        <f t="shared" si="1186"/>
        <v>3.3374576076447315</v>
      </c>
      <c r="D423" s="158">
        <f t="shared" si="1186"/>
        <v>3.9009056972878606</v>
      </c>
      <c r="E423" s="158">
        <f t="shared" si="1186"/>
        <v>3.0994803266518187</v>
      </c>
      <c r="F423" s="158">
        <f t="shared" si="1186"/>
        <v>2.6774203983643647</v>
      </c>
      <c r="G423" s="158">
        <f t="shared" si="1186"/>
        <v>2.8672836095612406</v>
      </c>
      <c r="H423" s="158">
        <f t="shared" ref="H423:J430" si="1196">+H244/H65</f>
        <v>2.8236760566453554</v>
      </c>
      <c r="I423" s="158">
        <f t="shared" si="1196"/>
        <v>3.0638229485599164</v>
      </c>
      <c r="J423" s="180">
        <f t="shared" si="1196"/>
        <v>3.3897984266009269</v>
      </c>
      <c r="K423" s="180"/>
      <c r="L423" s="127"/>
      <c r="M423" s="2"/>
      <c r="N423" s="133" t="s">
        <v>2</v>
      </c>
      <c r="O423" s="158">
        <f t="shared" si="1189"/>
        <v>3.6599873987155247</v>
      </c>
      <c r="P423" s="158">
        <f t="shared" si="1189"/>
        <v>3.1782996673340596</v>
      </c>
      <c r="Q423" s="158">
        <f t="shared" si="1189"/>
        <v>3.4891835310537336</v>
      </c>
      <c r="R423" s="158">
        <f t="shared" si="1189"/>
        <v>3.3822870328778865</v>
      </c>
      <c r="S423" s="158">
        <f t="shared" si="1189"/>
        <v>3.2020059833198129</v>
      </c>
      <c r="T423" s="158">
        <f t="shared" si="1189"/>
        <v>2.8977987000245933</v>
      </c>
      <c r="U423" s="158">
        <f t="shared" si="1189"/>
        <v>2.9494705438778008</v>
      </c>
      <c r="V423" s="158">
        <f t="shared" si="1192"/>
        <v>3.1627780596060582</v>
      </c>
      <c r="W423" s="180">
        <f t="shared" ref="W423:W427" si="1197">+W244/W65</f>
        <v>3.8370898068033132</v>
      </c>
      <c r="X423" s="180"/>
      <c r="Y423" s="147"/>
      <c r="Z423" s="127"/>
    </row>
    <row r="424" spans="1:26" x14ac:dyDescent="0.25">
      <c r="A424" s="133" t="s">
        <v>3</v>
      </c>
      <c r="B424" s="158">
        <f t="shared" si="1186"/>
        <v>2.9478928793855097</v>
      </c>
      <c r="C424" s="158">
        <f t="shared" si="1186"/>
        <v>3.2240434790950889</v>
      </c>
      <c r="D424" s="158">
        <f t="shared" si="1186"/>
        <v>3.3524821664692683</v>
      </c>
      <c r="E424" s="158">
        <f t="shared" si="1186"/>
        <v>3.5613365760921645</v>
      </c>
      <c r="F424" s="158">
        <f t="shared" si="1186"/>
        <v>2.8166604670961939</v>
      </c>
      <c r="G424" s="158">
        <f t="shared" si="1186"/>
        <v>2.7641406056270563</v>
      </c>
      <c r="H424" s="158">
        <f t="shared" si="1196"/>
        <v>2.9966452713067104</v>
      </c>
      <c r="I424" s="158">
        <f t="shared" si="1196"/>
        <v>3.3195819569814318</v>
      </c>
      <c r="J424" s="180">
        <f t="shared" si="1196"/>
        <v>3.3102438890024195</v>
      </c>
      <c r="K424" s="180"/>
      <c r="L424" s="127"/>
      <c r="M424" s="2"/>
      <c r="N424" s="133" t="s">
        <v>3</v>
      </c>
      <c r="O424" s="158">
        <f t="shared" si="1189"/>
        <v>3.5569492516687964</v>
      </c>
      <c r="P424" s="158">
        <f t="shared" si="1189"/>
        <v>3.2007330039977577</v>
      </c>
      <c r="Q424" s="158">
        <f t="shared" si="1189"/>
        <v>3.5014062024571335</v>
      </c>
      <c r="R424" s="158">
        <f t="shared" si="1189"/>
        <v>3.3989553765501466</v>
      </c>
      <c r="S424" s="158">
        <f t="shared" si="1189"/>
        <v>3.135853746207228</v>
      </c>
      <c r="T424" s="158">
        <f t="shared" si="1189"/>
        <v>2.8920788864308995</v>
      </c>
      <c r="U424" s="158">
        <f t="shared" si="1189"/>
        <v>2.9682183400326636</v>
      </c>
      <c r="V424" s="158">
        <f t="shared" si="1192"/>
        <v>3.1864125283243623</v>
      </c>
      <c r="W424" s="180">
        <f t="shared" si="1197"/>
        <v>3.8266397197576421</v>
      </c>
      <c r="X424" s="180"/>
      <c r="Y424" s="147"/>
      <c r="Z424" s="127"/>
    </row>
    <row r="425" spans="1:26" x14ac:dyDescent="0.25">
      <c r="A425" s="133" t="s">
        <v>4</v>
      </c>
      <c r="B425" s="158">
        <f t="shared" si="1186"/>
        <v>3.1133942816287892</v>
      </c>
      <c r="C425" s="158">
        <f t="shared" si="1186"/>
        <v>3.1410622501427756</v>
      </c>
      <c r="D425" s="158">
        <f t="shared" si="1186"/>
        <v>3.5116215136837448</v>
      </c>
      <c r="E425" s="158">
        <f t="shared" si="1186"/>
        <v>3.0142667420842462</v>
      </c>
      <c r="F425" s="158">
        <f t="shared" si="1186"/>
        <v>2.6308213810021637</v>
      </c>
      <c r="G425" s="158">
        <f t="shared" si="1186"/>
        <v>2.7408811428043083</v>
      </c>
      <c r="H425" s="158">
        <f t="shared" si="1196"/>
        <v>3.098560197344578</v>
      </c>
      <c r="I425" s="158">
        <f t="shared" si="1196"/>
        <v>3.3781063622202656</v>
      </c>
      <c r="J425" s="180">
        <f t="shared" si="1196"/>
        <v>3.6468114234293059</v>
      </c>
      <c r="K425" s="180"/>
      <c r="L425" s="127"/>
      <c r="M425" s="2"/>
      <c r="N425" s="133" t="s">
        <v>4</v>
      </c>
      <c r="O425" s="158">
        <f t="shared" si="1189"/>
        <v>3.486111715773986</v>
      </c>
      <c r="P425" s="158">
        <f t="shared" si="1189"/>
        <v>3.202035838293376</v>
      </c>
      <c r="Q425" s="158">
        <f t="shared" si="1189"/>
        <v>3.5432518238110817</v>
      </c>
      <c r="R425" s="158">
        <f t="shared" si="1189"/>
        <v>3.346784337886846</v>
      </c>
      <c r="S425" s="158">
        <f t="shared" si="1189"/>
        <v>3.0878376274783697</v>
      </c>
      <c r="T425" s="158">
        <f t="shared" si="1189"/>
        <v>2.8977107065963681</v>
      </c>
      <c r="U425" s="158">
        <f t="shared" si="1189"/>
        <v>3.0010423846154031</v>
      </c>
      <c r="V425" s="158">
        <f t="shared" si="1192"/>
        <v>3.2088815883578956</v>
      </c>
      <c r="W425" s="180">
        <f t="shared" si="1197"/>
        <v>3.8463551348086251</v>
      </c>
      <c r="X425" s="180"/>
      <c r="Y425" s="147"/>
      <c r="Z425" s="127"/>
    </row>
    <row r="426" spans="1:26" x14ac:dyDescent="0.25">
      <c r="A426" s="133" t="s">
        <v>5</v>
      </c>
      <c r="B426" s="158">
        <f t="shared" si="1186"/>
        <v>3.2479693906537923</v>
      </c>
      <c r="C426" s="158">
        <f t="shared" si="1186"/>
        <v>3.2738296447906801</v>
      </c>
      <c r="D426" s="158">
        <f t="shared" si="1186"/>
        <v>3.7831768529385217</v>
      </c>
      <c r="E426" s="158">
        <f t="shared" si="1186"/>
        <v>3.7028817804267189</v>
      </c>
      <c r="F426" s="158">
        <f t="shared" si="1186"/>
        <v>2.7115477593479795</v>
      </c>
      <c r="G426" s="158">
        <f t="shared" si="1186"/>
        <v>2.8921621046657369</v>
      </c>
      <c r="H426" s="158">
        <f t="shared" si="1196"/>
        <v>2.8767821302178915</v>
      </c>
      <c r="I426" s="158">
        <f t="shared" si="1196"/>
        <v>3.2858996451728135</v>
      </c>
      <c r="J426" s="180">
        <f t="shared" ref="J426" si="1198">+J247/J68</f>
        <v>3.8717971534225524</v>
      </c>
      <c r="K426" s="180"/>
      <c r="L426" s="127"/>
      <c r="M426" s="2"/>
      <c r="N426" s="133" t="s">
        <v>5</v>
      </c>
      <c r="O426" s="158">
        <f t="shared" si="1189"/>
        <v>3.4316349098909056</v>
      </c>
      <c r="P426" s="158">
        <f t="shared" si="1189"/>
        <v>3.2049074824452721</v>
      </c>
      <c r="Q426" s="158">
        <f t="shared" si="1189"/>
        <v>3.5966588885352313</v>
      </c>
      <c r="R426" s="158">
        <f t="shared" si="1189"/>
        <v>3.3332594751672775</v>
      </c>
      <c r="S426" s="158">
        <f t="shared" si="1189"/>
        <v>2.9899218369475054</v>
      </c>
      <c r="T426" s="158">
        <f t="shared" si="1189"/>
        <v>2.9130118951155208</v>
      </c>
      <c r="U426" s="158">
        <f t="shared" si="1189"/>
        <v>2.9965968486308809</v>
      </c>
      <c r="V426" s="158">
        <f t="shared" si="1192"/>
        <v>3.2554615331821495</v>
      </c>
      <c r="W426" s="180">
        <f t="shared" si="1197"/>
        <v>3.8988172412531963</v>
      </c>
      <c r="X426" s="180"/>
      <c r="Y426" s="147"/>
      <c r="Z426" s="127"/>
    </row>
    <row r="427" spans="1:26" x14ac:dyDescent="0.25">
      <c r="A427" s="133" t="s">
        <v>6</v>
      </c>
      <c r="B427" s="158">
        <f t="shared" si="1186"/>
        <v>2.9521821428745216</v>
      </c>
      <c r="C427" s="158">
        <f t="shared" si="1186"/>
        <v>3.5570330617748951</v>
      </c>
      <c r="D427" s="158">
        <f t="shared" si="1186"/>
        <v>3.373541774255882</v>
      </c>
      <c r="E427" s="158">
        <f t="shared" si="1186"/>
        <v>3.1199126579868599</v>
      </c>
      <c r="F427" s="158">
        <f t="shared" si="1186"/>
        <v>2.9277583395649587</v>
      </c>
      <c r="G427" s="158">
        <f t="shared" si="1186"/>
        <v>2.8475400476523882</v>
      </c>
      <c r="H427" s="158">
        <f t="shared" si="1196"/>
        <v>3.3536657651131709</v>
      </c>
      <c r="I427" s="158">
        <f>+I248/I69</f>
        <v>3.5592542689024085</v>
      </c>
      <c r="J427" s="180">
        <f t="shared" ref="J427:J430" si="1199">+J248/J69</f>
        <v>3.5089154858987306</v>
      </c>
      <c r="K427" s="180"/>
      <c r="L427" s="127"/>
      <c r="M427" s="2"/>
      <c r="N427" s="133" t="s">
        <v>6</v>
      </c>
      <c r="O427" s="158">
        <f t="shared" si="1189"/>
        <v>3.3163423816670741</v>
      </c>
      <c r="P427" s="158">
        <f t="shared" si="1189"/>
        <v>3.2783501395617893</v>
      </c>
      <c r="Q427" s="158">
        <f t="shared" si="1189"/>
        <v>3.5809340160403429</v>
      </c>
      <c r="R427" s="158">
        <f t="shared" si="1189"/>
        <v>3.2997694896419896</v>
      </c>
      <c r="S427" s="158">
        <f t="shared" si="1189"/>
        <v>2.9653050376696006</v>
      </c>
      <c r="T427" s="158">
        <f t="shared" si="1189"/>
        <v>2.9030036498289529</v>
      </c>
      <c r="U427" s="158">
        <f t="shared" si="1189"/>
        <v>3.0518082832972544</v>
      </c>
      <c r="V427" s="158">
        <f t="shared" si="1192"/>
        <v>3.2721289385163139</v>
      </c>
      <c r="W427" s="180">
        <f t="shared" si="1197"/>
        <v>3.8783729405816758</v>
      </c>
      <c r="X427" s="180"/>
      <c r="Y427" s="147"/>
      <c r="Z427" s="127"/>
    </row>
    <row r="428" spans="1:26" x14ac:dyDescent="0.25">
      <c r="A428" s="133" t="s">
        <v>7</v>
      </c>
      <c r="B428" s="158">
        <f t="shared" si="1186"/>
        <v>3.2574563832645969</v>
      </c>
      <c r="C428" s="158">
        <f t="shared" si="1186"/>
        <v>3.4098434147361392</v>
      </c>
      <c r="D428" s="158">
        <f t="shared" si="1186"/>
        <v>3.1767301871797908</v>
      </c>
      <c r="E428" s="158">
        <f t="shared" si="1186"/>
        <v>3.3801377351080122</v>
      </c>
      <c r="F428" s="158">
        <f t="shared" si="1186"/>
        <v>2.6641715146793312</v>
      </c>
      <c r="G428" s="158">
        <f t="shared" si="1186"/>
        <v>3.0560723827207776</v>
      </c>
      <c r="H428" s="158">
        <f t="shared" si="1196"/>
        <v>2.9675896541249585</v>
      </c>
      <c r="I428" s="158">
        <f t="shared" si="1196"/>
        <v>3.5364399730342431</v>
      </c>
      <c r="J428" s="180">
        <f t="shared" si="1199"/>
        <v>3.9003175765750613</v>
      </c>
      <c r="K428" s="180"/>
      <c r="L428" s="127"/>
      <c r="M428" s="2"/>
      <c r="N428" s="133" t="s">
        <v>7</v>
      </c>
      <c r="O428" s="158">
        <f t="shared" si="1189"/>
        <v>3.2720267504942706</v>
      </c>
      <c r="P428" s="158">
        <f t="shared" si="1189"/>
        <v>3.2938127478956742</v>
      </c>
      <c r="Q428" s="158">
        <f t="shared" si="1189"/>
        <v>3.5624952674623485</v>
      </c>
      <c r="R428" s="158">
        <f t="shared" si="1189"/>
        <v>3.3192191634873214</v>
      </c>
      <c r="S428" s="158">
        <f t="shared" si="1189"/>
        <v>2.879640473756151</v>
      </c>
      <c r="T428" s="158">
        <f t="shared" si="1189"/>
        <v>2.9458872482817697</v>
      </c>
      <c r="U428" s="158">
        <f t="shared" si="1189"/>
        <v>3.0416728954680075</v>
      </c>
      <c r="V428" s="158">
        <f t="shared" si="1192"/>
        <v>3.336282657377835</v>
      </c>
      <c r="W428" s="180">
        <f t="shared" si="1192"/>
        <v>3.9141748673182728</v>
      </c>
      <c r="X428" s="180"/>
      <c r="Y428" s="147"/>
      <c r="Z428" s="127"/>
    </row>
    <row r="429" spans="1:26" x14ac:dyDescent="0.25">
      <c r="A429" s="133" t="s">
        <v>8</v>
      </c>
      <c r="B429" s="158">
        <f t="shared" ref="B429:G431" si="1200">+B250/B71</f>
        <v>3.3060518174007401</v>
      </c>
      <c r="C429" s="158">
        <f t="shared" si="1200"/>
        <v>3.9543129259644925</v>
      </c>
      <c r="D429" s="158">
        <f t="shared" si="1200"/>
        <v>3.1284114126487212</v>
      </c>
      <c r="E429" s="158">
        <f t="shared" si="1200"/>
        <v>3.190347940503758</v>
      </c>
      <c r="F429" s="158">
        <f t="shared" si="1200"/>
        <v>3.0223750288818891</v>
      </c>
      <c r="G429" s="158">
        <f t="shared" si="1200"/>
        <v>3.0106090637609637</v>
      </c>
      <c r="H429" s="158">
        <f t="shared" si="1196"/>
        <v>3.4174363422870058</v>
      </c>
      <c r="I429" s="158">
        <f t="shared" si="1196"/>
        <v>3.6192821064396332</v>
      </c>
      <c r="J429" s="180">
        <f t="shared" si="1199"/>
        <v>3.4820162674427286</v>
      </c>
      <c r="K429" s="180"/>
      <c r="L429" s="127"/>
      <c r="M429" s="2"/>
      <c r="N429" s="133" t="s">
        <v>8</v>
      </c>
      <c r="O429" s="158">
        <f t="shared" ref="O429:S431" si="1201">+O250/O71</f>
        <v>3.2489381762017384</v>
      </c>
      <c r="P429" s="158">
        <f t="shared" si="1201"/>
        <v>3.3430027266519851</v>
      </c>
      <c r="Q429" s="158">
        <f t="shared" si="1201"/>
        <v>3.493524177603144</v>
      </c>
      <c r="R429" s="158">
        <f t="shared" si="1201"/>
        <v>3.3190970117475573</v>
      </c>
      <c r="S429" s="158">
        <f t="shared" si="1201"/>
        <v>2.8709732237604944</v>
      </c>
      <c r="T429" s="158">
        <f t="shared" ref="T429" si="1202">+T250/T71</f>
        <v>2.9427892038392098</v>
      </c>
      <c r="U429" s="158">
        <f t="shared" si="1189"/>
        <v>3.0761606930145455</v>
      </c>
      <c r="V429" s="158">
        <f t="shared" si="1192"/>
        <v>3.3498676754742704</v>
      </c>
      <c r="W429" s="180">
        <f t="shared" si="1192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200"/>
        <v>3.1717093021646328</v>
      </c>
      <c r="C430" s="158">
        <f t="shared" si="1200"/>
        <v>3.7028759034153231</v>
      </c>
      <c r="D430" s="158">
        <f t="shared" si="1200"/>
        <v>3.6445578184442722</v>
      </c>
      <c r="E430" s="158">
        <f t="shared" si="1200"/>
        <v>3.0972542244824472</v>
      </c>
      <c r="F430" s="158">
        <f t="shared" si="1200"/>
        <v>2.8704590155839811</v>
      </c>
      <c r="G430" s="158">
        <f t="shared" si="1200"/>
        <v>3.271640873200012</v>
      </c>
      <c r="H430" s="158">
        <f t="shared" si="1196"/>
        <v>3.4999403887667073</v>
      </c>
      <c r="I430" s="158">
        <f t="shared" si="1196"/>
        <v>3.3690432400853778</v>
      </c>
      <c r="J430" s="180">
        <f t="shared" si="1199"/>
        <v>3.6246520150050863</v>
      </c>
      <c r="K430" s="180"/>
      <c r="L430" s="127"/>
      <c r="M430" s="2"/>
      <c r="N430" s="133" t="s">
        <v>9</v>
      </c>
      <c r="O430" s="158">
        <f t="shared" si="1201"/>
        <v>3.1993495900147138</v>
      </c>
      <c r="P430" s="158">
        <f t="shared" si="1201"/>
        <v>3.3771368418547327</v>
      </c>
      <c r="Q430" s="158">
        <f t="shared" si="1201"/>
        <v>3.4933016850686487</v>
      </c>
      <c r="R430" s="158">
        <f t="shared" si="1201"/>
        <v>3.2752542133579765</v>
      </c>
      <c r="S430" s="158">
        <f t="shared" si="1201"/>
        <v>2.8576215862364256</v>
      </c>
      <c r="T430" s="158">
        <f t="shared" ref="T430" si="1203">+T251/T72</f>
        <v>2.9723943994175839</v>
      </c>
      <c r="U430" s="158">
        <f t="shared" si="1189"/>
        <v>3.0849144983767811</v>
      </c>
      <c r="V430" s="158">
        <f t="shared" si="1192"/>
        <v>3.3426583485873711</v>
      </c>
      <c r="W430" s="180">
        <f t="shared" si="1192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200"/>
        <v>3.1993495900147133</v>
      </c>
      <c r="C431" s="182">
        <f t="shared" si="1200"/>
        <v>3.3771368418547327</v>
      </c>
      <c r="D431" s="182">
        <f t="shared" si="1200"/>
        <v>3.4933016850686487</v>
      </c>
      <c r="E431" s="182">
        <f t="shared" si="1200"/>
        <v>3.2752542133579765</v>
      </c>
      <c r="F431" s="182">
        <f t="shared" si="1200"/>
        <v>2.8576215862364256</v>
      </c>
      <c r="G431" s="182">
        <f t="shared" ref="G431:I431" si="1204">+G252/G73</f>
        <v>2.9723943994175839</v>
      </c>
      <c r="H431" s="182">
        <f t="shared" si="1204"/>
        <v>3.0849144983767811</v>
      </c>
      <c r="I431" s="182">
        <f t="shared" si="1204"/>
        <v>3.3426583485873711</v>
      </c>
      <c r="J431" s="183">
        <f t="shared" ref="J431" si="1205">+J252/J73</f>
        <v>3.924912352830582</v>
      </c>
      <c r="K431" s="183"/>
      <c r="L431" s="137"/>
      <c r="M431" s="3"/>
      <c r="N431" s="134" t="s">
        <v>14</v>
      </c>
      <c r="O431" s="182">
        <f t="shared" si="1201"/>
        <v>3.5188431173126595</v>
      </c>
      <c r="P431" s="182">
        <f t="shared" si="1201"/>
        <v>3.2291435197130429</v>
      </c>
      <c r="Q431" s="182">
        <f t="shared" si="1201"/>
        <v>3.4972783824534814</v>
      </c>
      <c r="R431" s="182">
        <f t="shared" si="1201"/>
        <v>3.3778103152517969</v>
      </c>
      <c r="S431" s="182">
        <f t="shared" si="1201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3.8882875240515697</v>
      </c>
      <c r="Y431" s="149">
        <f>+X431/W431-1</f>
        <v>3.441644534466648E-2</v>
      </c>
      <c r="Z431" s="156">
        <f>+POWER(X431/S431,0.2)-1</f>
        <v>4.8703864993879353E-2</v>
      </c>
    </row>
    <row r="432" spans="1:26" ht="25.5" x14ac:dyDescent="0.25">
      <c r="A432" s="135" t="s">
        <v>15</v>
      </c>
      <c r="B432" s="138">
        <f t="shared" ref="B432:I432" si="1206">+B431/B$539</f>
        <v>1.0154635234450549</v>
      </c>
      <c r="C432" s="138">
        <f t="shared" si="1206"/>
        <v>0.94048451326564619</v>
      </c>
      <c r="D432" s="138">
        <f t="shared" si="1206"/>
        <v>1.1626185939181395</v>
      </c>
      <c r="E432" s="138">
        <f t="shared" si="1206"/>
        <v>1.254244117945136</v>
      </c>
      <c r="F432" s="138">
        <f t="shared" si="1206"/>
        <v>1.4316310692709449</v>
      </c>
      <c r="G432" s="138">
        <f t="shared" si="1206"/>
        <v>1.0391564870179093</v>
      </c>
      <c r="H432" s="138">
        <f t="shared" si="1206"/>
        <v>0.96671054975955473</v>
      </c>
      <c r="I432" s="138">
        <f t="shared" si="1206"/>
        <v>0.94799686485283341</v>
      </c>
      <c r="J432" s="139">
        <f t="shared" ref="J432" si="1207">+J431/J$539</f>
        <v>1.1253995682969951</v>
      </c>
      <c r="K432" s="139"/>
      <c r="L432" s="140"/>
      <c r="M432" s="3"/>
      <c r="N432" s="135" t="s">
        <v>15</v>
      </c>
      <c r="O432" s="138">
        <f t="shared" ref="O432:T432" si="1208">+O431/O$539</f>
        <v>1.1320092146222711</v>
      </c>
      <c r="P432" s="138">
        <f t="shared" si="1208"/>
        <v>0.95833569868679125</v>
      </c>
      <c r="Q432" s="138">
        <f t="shared" si="1208"/>
        <v>1.0173425351311223</v>
      </c>
      <c r="R432" s="138">
        <f t="shared" si="1208"/>
        <v>1.224900596124048</v>
      </c>
      <c r="S432" s="138">
        <f t="shared" si="1208"/>
        <v>1.4524985890266913</v>
      </c>
      <c r="T432" s="138">
        <f t="shared" si="1208"/>
        <v>1.1767639089466508</v>
      </c>
      <c r="U432" s="138">
        <f t="shared" ref="U432:X432" si="1209">+U431/U$539</f>
        <v>0.99160354497944769</v>
      </c>
      <c r="V432" s="138">
        <f t="shared" si="1209"/>
        <v>0.94629505404209735</v>
      </c>
      <c r="W432" s="139">
        <f t="shared" si="1209"/>
        <v>1.0717047358799718</v>
      </c>
      <c r="X432" s="139">
        <f t="shared" si="1209"/>
        <v>1.1128816317581176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210">+D431/C431-1</f>
        <v>3.4397434469998434E-2</v>
      </c>
      <c r="E433" s="142">
        <f t="shared" si="1210"/>
        <v>-6.2418734872704551E-2</v>
      </c>
      <c r="F433" s="142">
        <f t="shared" si="1210"/>
        <v>-0.12751151511179049</v>
      </c>
      <c r="G433" s="142">
        <f t="shared" si="1210"/>
        <v>4.0163754968101761E-2</v>
      </c>
      <c r="H433" s="142">
        <f t="shared" si="1210"/>
        <v>3.7855036660426E-2</v>
      </c>
      <c r="I433" s="142">
        <f t="shared" ref="I433:J433" si="1211">+I431/H431-1</f>
        <v>8.3549754894733486E-2</v>
      </c>
      <c r="J433" s="143">
        <f t="shared" si="1211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212">+Q431/P431-1</f>
        <v>8.303590754128698E-2</v>
      </c>
      <c r="R433" s="142">
        <f t="shared" si="1212"/>
        <v>-3.4160296704168314E-2</v>
      </c>
      <c r="S433" s="142">
        <f t="shared" si="1212"/>
        <v>-9.2474637083288513E-2</v>
      </c>
      <c r="T433" s="142">
        <f t="shared" si="1212"/>
        <v>-5.0821149600911331E-2</v>
      </c>
      <c r="U433" s="142">
        <f t="shared" si="1212"/>
        <v>3.069292554561498E-2</v>
      </c>
      <c r="V433" s="142">
        <f t="shared" si="1212"/>
        <v>7.1176358383516547E-2</v>
      </c>
      <c r="W433" s="143">
        <f t="shared" ref="W433" si="1213">+W431/V431-1</f>
        <v>0.17012053158661966</v>
      </c>
      <c r="X433" s="143">
        <f t="shared" ref="X433" si="1214">+X431/W431-1</f>
        <v>3.441644534466648E-2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47" t="s">
        <v>145</v>
      </c>
      <c r="B435" s="348"/>
      <c r="C435" s="348"/>
      <c r="D435" s="348"/>
      <c r="E435" s="348"/>
      <c r="F435" s="348"/>
      <c r="G435" s="348"/>
      <c r="H435" s="348"/>
      <c r="I435" s="348"/>
      <c r="J435" s="348"/>
      <c r="K435" s="348"/>
      <c r="L435" s="349"/>
      <c r="M435" s="2"/>
      <c r="N435" s="347" t="s">
        <v>146</v>
      </c>
      <c r="O435" s="348"/>
      <c r="P435" s="348"/>
      <c r="Q435" s="348"/>
      <c r="R435" s="348"/>
      <c r="S435" s="348"/>
      <c r="T435" s="348"/>
      <c r="U435" s="348"/>
      <c r="V435" s="348"/>
      <c r="W435" s="348"/>
      <c r="X435" s="348"/>
      <c r="Y435" s="348"/>
      <c r="Z435" s="34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215">+C436+1</f>
        <v>2018</v>
      </c>
      <c r="E436" s="129">
        <f t="shared" ref="E436" si="1216">+D436+1</f>
        <v>2019</v>
      </c>
      <c r="F436" s="129">
        <f t="shared" ref="F436" si="1217">+E436+1</f>
        <v>2020</v>
      </c>
      <c r="G436" s="129">
        <f t="shared" ref="G436" si="1218">+F436+1</f>
        <v>2021</v>
      </c>
      <c r="H436" s="129">
        <f t="shared" ref="H436" si="1219">+G436+1</f>
        <v>2022</v>
      </c>
      <c r="I436" s="129">
        <f t="shared" ref="I436" si="1220">+H436+1</f>
        <v>2023</v>
      </c>
      <c r="J436" s="130">
        <f t="shared" ref="J436:K436" si="1221">+I436+1</f>
        <v>2024</v>
      </c>
      <c r="K436" s="130">
        <f t="shared" si="1221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222">+P436+1</f>
        <v>2018</v>
      </c>
      <c r="R436" s="129">
        <f t="shared" si="1222"/>
        <v>2019</v>
      </c>
      <c r="S436" s="129">
        <f t="shared" si="1222"/>
        <v>2020</v>
      </c>
      <c r="T436" s="129">
        <f t="shared" si="1222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223">+B258/B79</f>
        <v>3.2118224008578018</v>
      </c>
      <c r="C437" s="158">
        <f t="shared" si="1223"/>
        <v>3.1407083137145109</v>
      </c>
      <c r="D437" s="158">
        <f t="shared" si="1223"/>
        <v>3.5576062922581824</v>
      </c>
      <c r="E437" s="158">
        <f t="shared" si="1223"/>
        <v>3.4814801305783014</v>
      </c>
      <c r="F437" s="158">
        <f t="shared" si="1223"/>
        <v>3.4559064803903978</v>
      </c>
      <c r="G437" s="158">
        <f t="shared" si="1223"/>
        <v>4.4574001630238813</v>
      </c>
      <c r="H437" s="158">
        <f t="shared" ref="H437:J437" si="1224">+H258/H79</f>
        <v>3.6135307734514255</v>
      </c>
      <c r="I437" s="158">
        <f t="shared" si="1224"/>
        <v>3.7226971939942901</v>
      </c>
      <c r="J437" s="180">
        <f t="shared" si="1224"/>
        <v>3.9691521696954024</v>
      </c>
      <c r="K437" s="180">
        <f t="shared" ref="K437:K439" si="1225">+K258/K79</f>
        <v>3.547483618433291</v>
      </c>
      <c r="L437" s="127">
        <f>+K437/J437-1</f>
        <v>-0.10623642864628968</v>
      </c>
      <c r="M437" s="2"/>
      <c r="N437" s="133" t="s">
        <v>10</v>
      </c>
      <c r="O437" s="158">
        <f t="shared" ref="O437:U444" si="1226">+O258/O79</f>
        <v>2.9688107183055195</v>
      </c>
      <c r="P437" s="158">
        <f t="shared" si="1226"/>
        <v>3.0860755425598625</v>
      </c>
      <c r="Q437" s="158">
        <f t="shared" si="1226"/>
        <v>3.4443962171964189</v>
      </c>
      <c r="R437" s="158">
        <f t="shared" si="1226"/>
        <v>3.6826780676962239</v>
      </c>
      <c r="S437" s="158">
        <f t="shared" si="1226"/>
        <v>3.6110869664373739</v>
      </c>
      <c r="T437" s="158">
        <f t="shared" si="1226"/>
        <v>3.6255178874062217</v>
      </c>
      <c r="U437" s="158">
        <f t="shared" si="1226"/>
        <v>3.8837201374824648</v>
      </c>
      <c r="V437" s="158">
        <f t="shared" ref="V437:X439" si="1227">+V258/V79</f>
        <v>3.5131642649502939</v>
      </c>
      <c r="W437" s="180">
        <f t="shared" si="1227"/>
        <v>3.9900332344340579</v>
      </c>
      <c r="X437" s="180">
        <f t="shared" si="1227"/>
        <v>3.687847210134485</v>
      </c>
      <c r="Y437" s="147">
        <f>+X437/W437-1</f>
        <v>-7.573521485778667E-2</v>
      </c>
      <c r="Z437" s="127">
        <f>+POWER(X437/S437,0.2)-1</f>
        <v>4.2156710773502137E-3</v>
      </c>
    </row>
    <row r="438" spans="1:26" x14ac:dyDescent="0.25">
      <c r="A438" s="133" t="s">
        <v>11</v>
      </c>
      <c r="B438" s="158">
        <f t="shared" si="1223"/>
        <v>2.5890582929550217</v>
      </c>
      <c r="C438" s="158">
        <f t="shared" si="1223"/>
        <v>2.7719247823233957</v>
      </c>
      <c r="D438" s="158">
        <f t="shared" si="1223"/>
        <v>3.3889436099482886</v>
      </c>
      <c r="E438" s="158">
        <f t="shared" si="1223"/>
        <v>3.6720389533861946</v>
      </c>
      <c r="F438" s="158">
        <f t="shared" si="1223"/>
        <v>3.6038347401458983</v>
      </c>
      <c r="G438" s="158">
        <f t="shared" si="1223"/>
        <v>3.7973244400651835</v>
      </c>
      <c r="H438" s="158">
        <f t="shared" ref="H438:J438" si="1228">+H259/H80</f>
        <v>3.7330575579101364</v>
      </c>
      <c r="I438" s="158">
        <f t="shared" si="1228"/>
        <v>3.8847839454958955</v>
      </c>
      <c r="J438" s="180">
        <f t="shared" si="1228"/>
        <v>3.2435499510926866</v>
      </c>
      <c r="K438" s="180">
        <f t="shared" si="1225"/>
        <v>3.6255399145088738</v>
      </c>
      <c r="L438" s="127">
        <f>+K438/J438-1</f>
        <v>0.11776910150173658</v>
      </c>
      <c r="M438" s="2"/>
      <c r="N438" s="133" t="s">
        <v>11</v>
      </c>
      <c r="O438" s="158">
        <f t="shared" si="1226"/>
        <v>2.9450489779244209</v>
      </c>
      <c r="P438" s="158">
        <f t="shared" si="1226"/>
        <v>3.1020064662961087</v>
      </c>
      <c r="Q438" s="158">
        <f t="shared" si="1226"/>
        <v>3.4847797742267943</v>
      </c>
      <c r="R438" s="158">
        <f t="shared" si="1226"/>
        <v>3.7083387048836407</v>
      </c>
      <c r="S438" s="158">
        <f t="shared" si="1226"/>
        <v>3.6063194785929662</v>
      </c>
      <c r="T438" s="158">
        <f t="shared" si="1226"/>
        <v>3.6408037862224432</v>
      </c>
      <c r="U438" s="158">
        <f t="shared" si="1226"/>
        <v>3.8797634373934429</v>
      </c>
      <c r="V438" s="158">
        <f t="shared" ref="V438:W448" si="1229">+V259/V80</f>
        <v>3.5120051849030993</v>
      </c>
      <c r="W438" s="180">
        <f t="shared" si="1229"/>
        <v>3.9286220424347169</v>
      </c>
      <c r="X438" s="180">
        <f t="shared" si="1227"/>
        <v>3.7216817679801171</v>
      </c>
      <c r="Y438" s="147">
        <f>+X438/W438-1</f>
        <v>-5.2675027584570322E-2</v>
      </c>
      <c r="Z438" s="127">
        <f>+POWER(X438/S438,0.2)-1</f>
        <v>6.3174589040506657E-3</v>
      </c>
    </row>
    <row r="439" spans="1:26" x14ac:dyDescent="0.25">
      <c r="A439" s="133" t="s">
        <v>0</v>
      </c>
      <c r="B439" s="158">
        <f t="shared" si="1223"/>
        <v>2.8102180002798307</v>
      </c>
      <c r="C439" s="158">
        <f t="shared" si="1223"/>
        <v>2.9323427126146062</v>
      </c>
      <c r="D439" s="158">
        <f t="shared" si="1223"/>
        <v>3.5209664746199469</v>
      </c>
      <c r="E439" s="158">
        <f t="shared" si="1223"/>
        <v>3.3718002823173312</v>
      </c>
      <c r="F439" s="158">
        <f t="shared" si="1223"/>
        <v>3.352720544467473</v>
      </c>
      <c r="G439" s="158">
        <f t="shared" si="1223"/>
        <v>3.4979696327683616</v>
      </c>
      <c r="H439" s="158">
        <f t="shared" ref="H439:J439" si="1230">+H260/H81</f>
        <v>3.4482938918924568</v>
      </c>
      <c r="I439" s="158">
        <f t="shared" si="1230"/>
        <v>3.4229682665431009</v>
      </c>
      <c r="J439" s="180">
        <f t="shared" si="1230"/>
        <v>3.6410605710654114</v>
      </c>
      <c r="K439" s="180">
        <f t="shared" si="1225"/>
        <v>3.5315254185011837</v>
      </c>
      <c r="L439" s="127">
        <f>+K439/J439-1</f>
        <v>-3.0083309636394384E-2</v>
      </c>
      <c r="M439" s="2"/>
      <c r="N439" s="133" t="s">
        <v>0</v>
      </c>
      <c r="O439" s="158">
        <f t="shared" si="1226"/>
        <v>2.9381786237710585</v>
      </c>
      <c r="P439" s="158">
        <f t="shared" si="1226"/>
        <v>3.1153140996630264</v>
      </c>
      <c r="Q439" s="158">
        <f t="shared" si="1226"/>
        <v>3.5455978818201142</v>
      </c>
      <c r="R439" s="158">
        <f t="shared" si="1226"/>
        <v>3.6899284739390716</v>
      </c>
      <c r="S439" s="158">
        <f t="shared" si="1226"/>
        <v>3.6091578708445726</v>
      </c>
      <c r="T439" s="158">
        <f t="shared" si="1226"/>
        <v>3.6475956542726085</v>
      </c>
      <c r="U439" s="158">
        <f t="shared" si="1226"/>
        <v>3.8972580341420215</v>
      </c>
      <c r="V439" s="158">
        <f t="shared" si="1229"/>
        <v>3.5086353214876489</v>
      </c>
      <c r="W439" s="180">
        <f t="shared" si="1229"/>
        <v>3.9426469792446106</v>
      </c>
      <c r="X439" s="180">
        <f t="shared" si="1227"/>
        <v>3.7180304489409459</v>
      </c>
      <c r="Y439" s="147">
        <f>+X439/W439-1</f>
        <v>-5.6970997273182222E-2</v>
      </c>
      <c r="Z439" s="127">
        <f>+POWER(X439/S439,0.2)-1</f>
        <v>5.9616222591989398E-3</v>
      </c>
    </row>
    <row r="440" spans="1:26" x14ac:dyDescent="0.25">
      <c r="A440" s="133" t="s">
        <v>1</v>
      </c>
      <c r="B440" s="158">
        <f t="shared" si="1223"/>
        <v>3.3755781428811105</v>
      </c>
      <c r="C440" s="158">
        <f t="shared" si="1223"/>
        <v>3.4345152427057437</v>
      </c>
      <c r="D440" s="158">
        <f t="shared" si="1223"/>
        <v>3.5358698521205167</v>
      </c>
      <c r="E440" s="158">
        <f t="shared" si="1223"/>
        <v>3.5410991486429695</v>
      </c>
      <c r="F440" s="158">
        <f t="shared" si="1223"/>
        <v>3.5475673700019232</v>
      </c>
      <c r="G440" s="158">
        <f t="shared" si="1223"/>
        <v>3.5444211427071144</v>
      </c>
      <c r="H440" s="158">
        <f t="shared" ref="H440:J440" si="1231">+H261/H82</f>
        <v>3.4517203822928546</v>
      </c>
      <c r="I440" s="158">
        <f t="shared" si="1231"/>
        <v>4.3712636925947681</v>
      </c>
      <c r="J440" s="180">
        <f t="shared" si="1231"/>
        <v>3.4041675263049309</v>
      </c>
      <c r="K440" s="180"/>
      <c r="L440" s="127"/>
      <c r="M440" s="2"/>
      <c r="N440" s="133" t="s">
        <v>1</v>
      </c>
      <c r="O440" s="158">
        <f t="shared" si="1226"/>
        <v>2.983656167630186</v>
      </c>
      <c r="P440" s="158">
        <f t="shared" si="1226"/>
        <v>3.1087734190905612</v>
      </c>
      <c r="Q440" s="158">
        <f t="shared" si="1226"/>
        <v>3.5549213919613361</v>
      </c>
      <c r="R440" s="158">
        <f t="shared" si="1226"/>
        <v>3.6962595203502211</v>
      </c>
      <c r="S440" s="158">
        <f t="shared" si="1226"/>
        <v>3.6086400894842914</v>
      </c>
      <c r="T440" s="158">
        <f t="shared" si="1226"/>
        <v>3.6468956775310679</v>
      </c>
      <c r="U440" s="158">
        <f t="shared" si="1226"/>
        <v>3.8777131161312983</v>
      </c>
      <c r="V440" s="158">
        <f t="shared" si="1229"/>
        <v>3.5543776655107817</v>
      </c>
      <c r="W440" s="180">
        <f t="shared" ref="W440" si="1232">+W261/W82</f>
        <v>3.8833616031564131</v>
      </c>
      <c r="X440" s="180"/>
      <c r="Y440" s="147"/>
      <c r="Z440" s="127"/>
    </row>
    <row r="441" spans="1:26" x14ac:dyDescent="0.25">
      <c r="A441" s="133" t="s">
        <v>2</v>
      </c>
      <c r="B441" s="158">
        <f t="shared" si="1223"/>
        <v>3.1366512372720972</v>
      </c>
      <c r="C441" s="158">
        <f t="shared" si="1223"/>
        <v>2.9981825688675201</v>
      </c>
      <c r="D441" s="158">
        <f t="shared" si="1223"/>
        <v>3.816829252475844</v>
      </c>
      <c r="E441" s="158">
        <f t="shared" si="1223"/>
        <v>3.2252852018227065</v>
      </c>
      <c r="F441" s="158">
        <f t="shared" si="1223"/>
        <v>3.3170084737890533</v>
      </c>
      <c r="G441" s="158">
        <f t="shared" si="1223"/>
        <v>3.4799205985646662</v>
      </c>
      <c r="H441" s="158">
        <f t="shared" ref="H441:J448" si="1233">+H262/H83</f>
        <v>3.7258394516954532</v>
      </c>
      <c r="I441" s="158">
        <f t="shared" si="1233"/>
        <v>4.177755685070947</v>
      </c>
      <c r="J441" s="180">
        <f t="shared" si="1233"/>
        <v>3.6000070039046768</v>
      </c>
      <c r="K441" s="180"/>
      <c r="L441" s="127"/>
      <c r="M441" s="2"/>
      <c r="N441" s="133" t="s">
        <v>2</v>
      </c>
      <c r="O441" s="158">
        <f t="shared" si="1226"/>
        <v>2.9801578591402516</v>
      </c>
      <c r="P441" s="158">
        <f t="shared" si="1226"/>
        <v>3.1010867156240707</v>
      </c>
      <c r="Q441" s="158">
        <f t="shared" si="1226"/>
        <v>3.6008313942822454</v>
      </c>
      <c r="R441" s="158">
        <f t="shared" si="1226"/>
        <v>3.6608778526365517</v>
      </c>
      <c r="S441" s="158">
        <f t="shared" si="1226"/>
        <v>3.6021059593924418</v>
      </c>
      <c r="T441" s="158">
        <f t="shared" si="1226"/>
        <v>3.6644626113056362</v>
      </c>
      <c r="U441" s="158">
        <f t="shared" si="1226"/>
        <v>3.9070606133186385</v>
      </c>
      <c r="V441" s="158">
        <f t="shared" si="1229"/>
        <v>3.576663083228397</v>
      </c>
      <c r="W441" s="180">
        <f t="shared" ref="W441:W445" si="1234">+W262/W83</f>
        <v>3.8360707084202263</v>
      </c>
      <c r="X441" s="180"/>
      <c r="Y441" s="147"/>
      <c r="Z441" s="127"/>
    </row>
    <row r="442" spans="1:26" x14ac:dyDescent="0.25">
      <c r="A442" s="133" t="s">
        <v>3</v>
      </c>
      <c r="B442" s="158">
        <f t="shared" si="1223"/>
        <v>2.6527216543855476</v>
      </c>
      <c r="C442" s="158">
        <f t="shared" si="1223"/>
        <v>3.2001536489018774</v>
      </c>
      <c r="D442" s="158">
        <f t="shared" si="1223"/>
        <v>3.683642757437362</v>
      </c>
      <c r="E442" s="158">
        <f t="shared" si="1223"/>
        <v>3.8496736682321093</v>
      </c>
      <c r="F442" s="158">
        <f t="shared" si="1223"/>
        <v>3.1348392828454399</v>
      </c>
      <c r="G442" s="158">
        <f t="shared" si="1223"/>
        <v>4.3058253719030262</v>
      </c>
      <c r="H442" s="158">
        <f t="shared" si="1233"/>
        <v>3.3739151643259278</v>
      </c>
      <c r="I442" s="158">
        <f t="shared" si="1233"/>
        <v>3.8607323886044473</v>
      </c>
      <c r="J442" s="180">
        <f t="shared" si="1233"/>
        <v>3.901690422489362</v>
      </c>
      <c r="K442" s="180"/>
      <c r="L442" s="127"/>
      <c r="M442" s="2"/>
      <c r="N442" s="133" t="s">
        <v>3</v>
      </c>
      <c r="O442" s="158">
        <f t="shared" si="1226"/>
        <v>2.9809586027042592</v>
      </c>
      <c r="P442" s="158">
        <f t="shared" si="1226"/>
        <v>3.1360114844840776</v>
      </c>
      <c r="Q442" s="158">
        <f t="shared" si="1226"/>
        <v>3.6446403114586219</v>
      </c>
      <c r="R442" s="158">
        <f t="shared" si="1226"/>
        <v>3.6692226367536773</v>
      </c>
      <c r="S442" s="158">
        <f t="shared" si="1226"/>
        <v>3.5463673291039233</v>
      </c>
      <c r="T442" s="158">
        <f t="shared" si="1226"/>
        <v>3.7294431662668246</v>
      </c>
      <c r="U442" s="158">
        <f t="shared" si="1226"/>
        <v>3.842758688889826</v>
      </c>
      <c r="V442" s="158">
        <f t="shared" si="1229"/>
        <v>3.6152574401721171</v>
      </c>
      <c r="W442" s="180">
        <f t="shared" si="1234"/>
        <v>3.8372221169782801</v>
      </c>
      <c r="X442" s="180"/>
      <c r="Y442" s="147"/>
      <c r="Z442" s="127"/>
    </row>
    <row r="443" spans="1:26" x14ac:dyDescent="0.25">
      <c r="A443" s="133" t="s">
        <v>4</v>
      </c>
      <c r="B443" s="158">
        <f t="shared" si="1223"/>
        <v>2.705212364538101</v>
      </c>
      <c r="C443" s="158">
        <f t="shared" si="1223"/>
        <v>3.6539991520054125</v>
      </c>
      <c r="D443" s="158">
        <f t="shared" si="1223"/>
        <v>3.6892247210224856</v>
      </c>
      <c r="E443" s="158">
        <f t="shared" si="1223"/>
        <v>3.4263755193987753</v>
      </c>
      <c r="F443" s="158">
        <f t="shared" si="1223"/>
        <v>3.5155186693153713</v>
      </c>
      <c r="G443" s="158">
        <f t="shared" si="1223"/>
        <v>4.2334030996477958</v>
      </c>
      <c r="H443" s="158">
        <f t="shared" si="1233"/>
        <v>3.3211481402553971</v>
      </c>
      <c r="I443" s="158">
        <f t="shared" si="1233"/>
        <v>4.4378121444344805</v>
      </c>
      <c r="J443" s="180">
        <f t="shared" si="1233"/>
        <v>3.7193813364907866</v>
      </c>
      <c r="K443" s="180"/>
      <c r="L443" s="127"/>
      <c r="M443" s="2"/>
      <c r="N443" s="133" t="s">
        <v>4</v>
      </c>
      <c r="O443" s="158">
        <f t="shared" ref="O443:S449" si="1235">+O264/O85</f>
        <v>2.9742422858445168</v>
      </c>
      <c r="P443" s="158">
        <f t="shared" si="1235"/>
        <v>3.2088666547760409</v>
      </c>
      <c r="Q443" s="158">
        <f t="shared" si="1235"/>
        <v>3.6473030110506843</v>
      </c>
      <c r="R443" s="158">
        <f t="shared" si="1235"/>
        <v>3.6498485256855</v>
      </c>
      <c r="S443" s="158">
        <f t="shared" ref="S443" si="1236">+S264/S85</f>
        <v>3.5517016742993985</v>
      </c>
      <c r="T443" s="158">
        <f t="shared" si="1226"/>
        <v>3.7897820089659904</v>
      </c>
      <c r="U443" s="158">
        <f t="shared" si="1226"/>
        <v>3.780729016908146</v>
      </c>
      <c r="V443" s="158">
        <f t="shared" si="1229"/>
        <v>3.6698065803241269</v>
      </c>
      <c r="W443" s="180">
        <f t="shared" si="1234"/>
        <v>3.7953408281645569</v>
      </c>
      <c r="X443" s="180"/>
      <c r="Y443" s="147"/>
      <c r="Z443" s="127"/>
    </row>
    <row r="444" spans="1:26" x14ac:dyDescent="0.25">
      <c r="A444" s="133" t="s">
        <v>5</v>
      </c>
      <c r="B444" s="158">
        <f t="shared" si="1223"/>
        <v>3.0132960221365872</v>
      </c>
      <c r="C444" s="158">
        <f t="shared" si="1223"/>
        <v>3.737381328123043</v>
      </c>
      <c r="D444" s="158">
        <f t="shared" si="1223"/>
        <v>4.1437906463646845</v>
      </c>
      <c r="E444" s="158">
        <f t="shared" si="1223"/>
        <v>3.8477058149697179</v>
      </c>
      <c r="F444" s="158">
        <f t="shared" si="1223"/>
        <v>3.6353797376143868</v>
      </c>
      <c r="G444" s="158">
        <f t="shared" si="1223"/>
        <v>4.0023446229370068</v>
      </c>
      <c r="H444" s="158">
        <f t="shared" si="1233"/>
        <v>3.548440199470893</v>
      </c>
      <c r="I444" s="158">
        <f t="shared" si="1233"/>
        <v>4.0772352815521353</v>
      </c>
      <c r="J444" s="180">
        <f t="shared" ref="J444" si="1237">+J265/J86</f>
        <v>4.3582709505432344</v>
      </c>
      <c r="K444" s="180"/>
      <c r="L444" s="127"/>
      <c r="M444" s="2"/>
      <c r="N444" s="133" t="s">
        <v>5</v>
      </c>
      <c r="O444" s="158">
        <f t="shared" si="1235"/>
        <v>3.0216762154506176</v>
      </c>
      <c r="P444" s="158">
        <f t="shared" si="1235"/>
        <v>3.2563982464936694</v>
      </c>
      <c r="Q444" s="158">
        <f t="shared" si="1235"/>
        <v>3.6698220272482125</v>
      </c>
      <c r="R444" s="158">
        <f t="shared" si="1235"/>
        <v>3.6335771553964853</v>
      </c>
      <c r="S444" s="158">
        <f t="shared" ref="S444" si="1238">+S265/S86</f>
        <v>3.5433008341694849</v>
      </c>
      <c r="T444" s="158">
        <f t="shared" si="1226"/>
        <v>3.8245065069544482</v>
      </c>
      <c r="U444" s="158">
        <f t="shared" si="1226"/>
        <v>3.7455030130855018</v>
      </c>
      <c r="V444" s="158">
        <f t="shared" si="1229"/>
        <v>3.7131835036118392</v>
      </c>
      <c r="W444" s="180">
        <f t="shared" si="1234"/>
        <v>3.8056507919761398</v>
      </c>
      <c r="X444" s="180"/>
      <c r="Y444" s="147"/>
      <c r="Z444" s="127"/>
    </row>
    <row r="445" spans="1:26" x14ac:dyDescent="0.25">
      <c r="A445" s="133" t="s">
        <v>6</v>
      </c>
      <c r="B445" s="158">
        <f t="shared" si="1223"/>
        <v>3.288955968345312</v>
      </c>
      <c r="C445" s="158">
        <f t="shared" si="1223"/>
        <v>3.3776885749412431</v>
      </c>
      <c r="D445" s="158">
        <f t="shared" si="1223"/>
        <v>3.6566670694929688</v>
      </c>
      <c r="E445" s="158">
        <f t="shared" si="1223"/>
        <v>3.5534876385000596</v>
      </c>
      <c r="F445" s="158">
        <f t="shared" si="1223"/>
        <v>3.706391257295492</v>
      </c>
      <c r="G445" s="158">
        <f t="shared" si="1223"/>
        <v>4.4464344367441182</v>
      </c>
      <c r="H445" s="158">
        <f t="shared" si="1233"/>
        <v>3.5632806347121093</v>
      </c>
      <c r="I445" s="158">
        <f>+I266/I87</f>
        <v>4.0412923242618337</v>
      </c>
      <c r="J445" s="180">
        <f t="shared" ref="J445:J448" si="1239">+J266/J87</f>
        <v>3.7752057148024232</v>
      </c>
      <c r="K445" s="180"/>
      <c r="L445" s="127"/>
      <c r="M445" s="2"/>
      <c r="N445" s="133" t="s">
        <v>6</v>
      </c>
      <c r="O445" s="158">
        <f t="shared" si="1235"/>
        <v>3.053127195719584</v>
      </c>
      <c r="P445" s="158">
        <f t="shared" si="1235"/>
        <v>3.2639088556452562</v>
      </c>
      <c r="Q445" s="158">
        <f t="shared" si="1235"/>
        <v>3.7051320600142064</v>
      </c>
      <c r="R445" s="158">
        <f t="shared" si="1235"/>
        <v>3.6241649319969191</v>
      </c>
      <c r="S445" s="158">
        <f t="shared" si="1235"/>
        <v>3.5605391660457721</v>
      </c>
      <c r="T445" s="158">
        <f t="shared" ref="T445:U445" si="1240">+T266/T87</f>
        <v>3.8970008109883412</v>
      </c>
      <c r="U445" s="158">
        <f t="shared" si="1240"/>
        <v>3.6606706095270423</v>
      </c>
      <c r="V445" s="158">
        <f t="shared" si="1229"/>
        <v>3.7846436975739679</v>
      </c>
      <c r="W445" s="180">
        <f t="shared" si="1234"/>
        <v>3.7682636690074824</v>
      </c>
      <c r="X445" s="180"/>
      <c r="Y445" s="147"/>
      <c r="Z445" s="127"/>
    </row>
    <row r="446" spans="1:26" x14ac:dyDescent="0.25">
      <c r="A446" s="133" t="s">
        <v>7</v>
      </c>
      <c r="B446" s="158">
        <f t="shared" si="1223"/>
        <v>3.4731921999484987</v>
      </c>
      <c r="C446" s="158">
        <f t="shared" si="1223"/>
        <v>4.1853293909852942</v>
      </c>
      <c r="D446" s="158">
        <f t="shared" si="1223"/>
        <v>3.903508058172902</v>
      </c>
      <c r="E446" s="158">
        <f t="shared" si="1223"/>
        <v>3.8051139409079853</v>
      </c>
      <c r="F446" s="158">
        <f t="shared" si="1223"/>
        <v>3.9564636559664303</v>
      </c>
      <c r="G446" s="158">
        <f t="shared" si="1223"/>
        <v>4.2536076975872907</v>
      </c>
      <c r="H446" s="158">
        <f t="shared" si="1233"/>
        <v>3.4829816572338355</v>
      </c>
      <c r="I446" s="158">
        <f t="shared" si="1233"/>
        <v>4.2464227649579174</v>
      </c>
      <c r="J446" s="180">
        <f t="shared" si="1239"/>
        <v>3.8186303124926337</v>
      </c>
      <c r="K446" s="180"/>
      <c r="L446" s="127"/>
      <c r="M446" s="2"/>
      <c r="N446" s="133" t="s">
        <v>7</v>
      </c>
      <c r="O446" s="158">
        <f t="shared" si="1235"/>
        <v>3.0258905337917574</v>
      </c>
      <c r="P446" s="158">
        <f t="shared" si="1235"/>
        <v>3.3370602944252377</v>
      </c>
      <c r="Q446" s="158">
        <f t="shared" si="1235"/>
        <v>3.6624208440183295</v>
      </c>
      <c r="R446" s="158">
        <f t="shared" si="1235"/>
        <v>3.609542493821333</v>
      </c>
      <c r="S446" s="158">
        <f t="shared" si="1235"/>
        <v>3.5696991693405202</v>
      </c>
      <c r="T446" s="158">
        <f t="shared" ref="T446:U446" si="1241">+T267/T88</f>
        <v>3.9153616097572517</v>
      </c>
      <c r="U446" s="158">
        <f t="shared" si="1241"/>
        <v>3.6035780648131088</v>
      </c>
      <c r="V446" s="158">
        <f t="shared" si="1229"/>
        <v>3.8733837508725406</v>
      </c>
      <c r="W446" s="180">
        <f t="shared" si="1229"/>
        <v>3.7372964971568741</v>
      </c>
      <c r="X446" s="180"/>
      <c r="Y446" s="147"/>
      <c r="Z446" s="127"/>
    </row>
    <row r="447" spans="1:26" x14ac:dyDescent="0.25">
      <c r="A447" s="133" t="s">
        <v>8</v>
      </c>
      <c r="B447" s="158">
        <f t="shared" ref="B447:G449" si="1242">+B268/B89</f>
        <v>3.1891054836946617</v>
      </c>
      <c r="C447" s="158">
        <f t="shared" si="1242"/>
        <v>3.7422312824041537</v>
      </c>
      <c r="D447" s="158">
        <f t="shared" si="1242"/>
        <v>3.7893075518144999</v>
      </c>
      <c r="E447" s="158">
        <f t="shared" si="1242"/>
        <v>4.1855260637708041</v>
      </c>
      <c r="F447" s="158">
        <f t="shared" si="1242"/>
        <v>3.9379205187976312</v>
      </c>
      <c r="G447" s="158">
        <f t="shared" si="1242"/>
        <v>4.1827622930674853</v>
      </c>
      <c r="H447" s="158">
        <f t="shared" si="1233"/>
        <v>3.1562716897584804</v>
      </c>
      <c r="I447" s="158">
        <f t="shared" si="1233"/>
        <v>3.6291587491030768</v>
      </c>
      <c r="J447" s="180">
        <f t="shared" si="1239"/>
        <v>3.9205581256456998</v>
      </c>
      <c r="K447" s="180"/>
      <c r="L447" s="127"/>
      <c r="M447" s="2"/>
      <c r="N447" s="133" t="s">
        <v>8</v>
      </c>
      <c r="O447" s="158">
        <f t="shared" si="1235"/>
        <v>3.0794140342101803</v>
      </c>
      <c r="P447" s="158">
        <f t="shared" si="1235"/>
        <v>3.3811063917564224</v>
      </c>
      <c r="Q447" s="158">
        <f t="shared" si="1235"/>
        <v>3.6702694049983742</v>
      </c>
      <c r="R447" s="158">
        <f t="shared" si="1235"/>
        <v>3.6301972206187934</v>
      </c>
      <c r="S447" s="158">
        <f t="shared" si="1235"/>
        <v>3.5640332541275281</v>
      </c>
      <c r="T447" s="158">
        <f t="shared" ref="T447:U447" si="1243">+T268/T89</f>
        <v>3.9391047690907879</v>
      </c>
      <c r="U447" s="158">
        <f t="shared" si="1243"/>
        <v>3.5245448852043131</v>
      </c>
      <c r="V447" s="158">
        <f t="shared" si="1229"/>
        <v>3.9093017916677399</v>
      </c>
      <c r="W447" s="180">
        <f t="shared" si="1229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242"/>
        <v>3.1306921675774135</v>
      </c>
      <c r="C448" s="158">
        <f t="shared" si="1242"/>
        <v>3.4267110236605176</v>
      </c>
      <c r="D448" s="158">
        <f t="shared" si="1242"/>
        <v>3.6398457503602271</v>
      </c>
      <c r="E448" s="158">
        <f t="shared" si="1242"/>
        <v>3.5139882189720324</v>
      </c>
      <c r="F448" s="158">
        <f t="shared" si="1242"/>
        <v>3.7446742410793536</v>
      </c>
      <c r="G448" s="158">
        <f t="shared" si="1242"/>
        <v>3.752632331855124</v>
      </c>
      <c r="H448" s="158">
        <f t="shared" si="1233"/>
        <v>3.5315716171975327</v>
      </c>
      <c r="I448" s="158">
        <f t="shared" si="1233"/>
        <v>4.2367481258903261</v>
      </c>
      <c r="J448" s="180">
        <f t="shared" si="1239"/>
        <v>3.5521341358948293</v>
      </c>
      <c r="K448" s="180"/>
      <c r="L448" s="127"/>
      <c r="M448" s="2"/>
      <c r="N448" s="133" t="s">
        <v>9</v>
      </c>
      <c r="O448" s="158">
        <f t="shared" si="1235"/>
        <v>3.0891554587724688</v>
      </c>
      <c r="P448" s="158">
        <f t="shared" si="1235"/>
        <v>3.4032676138815443</v>
      </c>
      <c r="Q448" s="158">
        <f t="shared" si="1235"/>
        <v>3.6812855141549217</v>
      </c>
      <c r="R448" s="158">
        <f t="shared" si="1235"/>
        <v>3.6146999633849894</v>
      </c>
      <c r="S448" s="158">
        <f t="shared" si="1235"/>
        <v>3.5806504172321474</v>
      </c>
      <c r="T448" s="158">
        <f t="shared" ref="T448:U448" si="1244">+T269/T90</f>
        <v>3.9380418414846163</v>
      </c>
      <c r="U448" s="158">
        <f t="shared" si="1244"/>
        <v>3.5055885302201597</v>
      </c>
      <c r="V448" s="158">
        <f t="shared" si="1229"/>
        <v>3.9633622775114707</v>
      </c>
      <c r="W448" s="180">
        <f t="shared" si="1229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242"/>
        <v>3.0891554587724692</v>
      </c>
      <c r="C449" s="182">
        <f t="shared" si="1242"/>
        <v>3.4032676138815443</v>
      </c>
      <c r="D449" s="182">
        <f t="shared" si="1242"/>
        <v>3.6812855141549217</v>
      </c>
      <c r="E449" s="182">
        <f t="shared" si="1242"/>
        <v>3.6146999633849894</v>
      </c>
      <c r="F449" s="182">
        <f t="shared" si="1242"/>
        <v>3.5806504172321474</v>
      </c>
      <c r="G449" s="182">
        <f t="shared" ref="G449:I449" si="1245">+G270/G91</f>
        <v>3.9380418414846163</v>
      </c>
      <c r="H449" s="182">
        <f t="shared" si="1245"/>
        <v>3.5055885302201597</v>
      </c>
      <c r="I449" s="182">
        <f t="shared" si="1245"/>
        <v>3.9633622775114707</v>
      </c>
      <c r="J449" s="183">
        <f t="shared" ref="J449" si="1246">+J270/J91</f>
        <v>3.7158148749444524</v>
      </c>
      <c r="K449" s="183"/>
      <c r="L449" s="137"/>
      <c r="M449" s="3"/>
      <c r="N449" s="134" t="s">
        <v>14</v>
      </c>
      <c r="O449" s="182">
        <f t="shared" si="1235"/>
        <v>3.0028132548749733</v>
      </c>
      <c r="P449" s="182">
        <f t="shared" si="1235"/>
        <v>3.1996344635180725</v>
      </c>
      <c r="Q449" s="182">
        <f t="shared" si="1235"/>
        <v>3.6046917636911524</v>
      </c>
      <c r="R449" s="182">
        <f t="shared" si="1235"/>
        <v>3.656207613425583</v>
      </c>
      <c r="S449" s="182">
        <f t="shared" si="1235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3.708881316587846</v>
      </c>
      <c r="Y449" s="149">
        <f>+X449/W449-1</f>
        <v>-3.1829240572388673E-2</v>
      </c>
      <c r="Z449" s="156">
        <f>+POWER(X449/S449,0.2)-1</f>
        <v>7.2259871828221911E-3</v>
      </c>
    </row>
    <row r="450" spans="1:26" ht="25.5" x14ac:dyDescent="0.25">
      <c r="A450" s="135" t="s">
        <v>15</v>
      </c>
      <c r="B450" s="138">
        <f t="shared" ref="B450:I450" si="1247">+B449/B$539</f>
        <v>0.98048825187002786</v>
      </c>
      <c r="C450" s="138">
        <f t="shared" si="1247"/>
        <v>0.94776156112059617</v>
      </c>
      <c r="D450" s="138">
        <f t="shared" si="1247"/>
        <v>1.2251821841129942</v>
      </c>
      <c r="E450" s="138">
        <f t="shared" si="1247"/>
        <v>1.3842333669006712</v>
      </c>
      <c r="F450" s="138">
        <f t="shared" si="1247"/>
        <v>1.7938590645442443</v>
      </c>
      <c r="G450" s="138">
        <f t="shared" si="1247"/>
        <v>1.3767492384350251</v>
      </c>
      <c r="H450" s="138">
        <f t="shared" si="1247"/>
        <v>1.09853592929823</v>
      </c>
      <c r="I450" s="138">
        <f t="shared" si="1247"/>
        <v>1.1240320192892881</v>
      </c>
      <c r="J450" s="139">
        <f t="shared" ref="J450" si="1248">+J449/J$539</f>
        <v>1.0654445450528878</v>
      </c>
      <c r="K450" s="139"/>
      <c r="L450" s="140"/>
      <c r="M450" s="3"/>
      <c r="N450" s="135" t="s">
        <v>15</v>
      </c>
      <c r="O450" s="138">
        <f t="shared" ref="O450:T450" si="1249">+O449/O$539</f>
        <v>0.96600279153801616</v>
      </c>
      <c r="P450" s="138">
        <f t="shared" si="1249"/>
        <v>0.94957808794154075</v>
      </c>
      <c r="Q450" s="138">
        <f t="shared" si="1249"/>
        <v>1.0485886041096735</v>
      </c>
      <c r="R450" s="138">
        <f t="shared" si="1249"/>
        <v>1.325856240362755</v>
      </c>
      <c r="S450" s="138">
        <f t="shared" si="1249"/>
        <v>1.6952354075654066</v>
      </c>
      <c r="T450" s="138">
        <f t="shared" si="1249"/>
        <v>1.5204685150764334</v>
      </c>
      <c r="U450" s="138">
        <f t="shared" ref="U450:X450" si="1250">+U449/U$539</f>
        <v>1.2411693518910762</v>
      </c>
      <c r="V450" s="138">
        <f t="shared" si="1250"/>
        <v>1.0803694238917496</v>
      </c>
      <c r="W450" s="139">
        <f t="shared" si="1250"/>
        <v>1.0922025059668605</v>
      </c>
      <c r="X450" s="139">
        <f t="shared" si="1250"/>
        <v>1.0615330955002531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251">+D449/C449-1</f>
        <v>8.1691460036634744E-2</v>
      </c>
      <c r="E451" s="142">
        <f t="shared" si="1251"/>
        <v>-1.8087581230497807E-2</v>
      </c>
      <c r="F451" s="142">
        <f t="shared" si="1251"/>
        <v>-9.4197434082347042E-3</v>
      </c>
      <c r="G451" s="142">
        <f t="shared" si="1251"/>
        <v>9.9811872874407515E-2</v>
      </c>
      <c r="H451" s="142">
        <f t="shared" si="1251"/>
        <v>-0.10981430077985777</v>
      </c>
      <c r="I451" s="142">
        <f t="shared" ref="I451:J451" si="1252">+I449/H449-1</f>
        <v>0.13058399277183907</v>
      </c>
      <c r="J451" s="143">
        <f t="shared" si="1252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253">+Q449/P449-1</f>
        <v>0.12659486725483959</v>
      </c>
      <c r="R451" s="142">
        <f t="shared" si="1253"/>
        <v>1.4291332827214953E-2</v>
      </c>
      <c r="S451" s="142">
        <f t="shared" si="1253"/>
        <v>-2.146249512009557E-2</v>
      </c>
      <c r="T451" s="142">
        <f t="shared" si="1253"/>
        <v>5.0804317289859791E-2</v>
      </c>
      <c r="U451" s="142">
        <f t="shared" si="1253"/>
        <v>-1.531941234882761E-3</v>
      </c>
      <c r="V451" s="142">
        <f t="shared" si="1253"/>
        <v>-2.2956902597420781E-2</v>
      </c>
      <c r="W451" s="143">
        <f t="shared" ref="W451" si="1254">+W449/V449-1</f>
        <v>4.4510726459952243E-2</v>
      </c>
      <c r="X451" s="143">
        <f t="shared" ref="X451" si="1255">+X449/W449-1</f>
        <v>-3.1829240572388673E-2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47" t="s">
        <v>147</v>
      </c>
      <c r="B453" s="348"/>
      <c r="C453" s="348"/>
      <c r="D453" s="348"/>
      <c r="E453" s="348"/>
      <c r="F453" s="348"/>
      <c r="G453" s="348"/>
      <c r="H453" s="348"/>
      <c r="I453" s="348"/>
      <c r="J453" s="348"/>
      <c r="K453" s="348"/>
      <c r="L453" s="349"/>
      <c r="M453" s="2"/>
      <c r="N453" s="347" t="s">
        <v>148</v>
      </c>
      <c r="O453" s="348"/>
      <c r="P453" s="348"/>
      <c r="Q453" s="348"/>
      <c r="R453" s="348"/>
      <c r="S453" s="348"/>
      <c r="T453" s="348"/>
      <c r="U453" s="348"/>
      <c r="V453" s="348"/>
      <c r="W453" s="348"/>
      <c r="X453" s="348"/>
      <c r="Y453" s="348"/>
      <c r="Z453" s="34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256">+C454+1</f>
        <v>2018</v>
      </c>
      <c r="E454" s="129">
        <f t="shared" ref="E454" si="1257">+D454+1</f>
        <v>2019</v>
      </c>
      <c r="F454" s="129">
        <f t="shared" ref="F454" si="1258">+E454+1</f>
        <v>2020</v>
      </c>
      <c r="G454" s="129">
        <f t="shared" ref="G454" si="1259">+F454+1</f>
        <v>2021</v>
      </c>
      <c r="H454" s="129">
        <f t="shared" ref="H454" si="1260">+G454+1</f>
        <v>2022</v>
      </c>
      <c r="I454" s="129">
        <f t="shared" ref="I454" si="1261">+H454+1</f>
        <v>2023</v>
      </c>
      <c r="J454" s="130">
        <f t="shared" ref="J454:K454" si="1262">+I454+1</f>
        <v>2024</v>
      </c>
      <c r="K454" s="130">
        <f t="shared" si="1262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263">+P454+1</f>
        <v>2018</v>
      </c>
      <c r="R454" s="129">
        <f t="shared" si="1263"/>
        <v>2019</v>
      </c>
      <c r="S454" s="129">
        <f t="shared" si="1263"/>
        <v>2020</v>
      </c>
      <c r="T454" s="129">
        <f t="shared" si="1263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264">+B276/B115</f>
        <v>2.8271690720005469</v>
      </c>
      <c r="C455" s="158">
        <f t="shared" si="1264"/>
        <v>3.662111124647943</v>
      </c>
      <c r="D455" s="158">
        <f t="shared" si="1264"/>
        <v>5.1016276621588785</v>
      </c>
      <c r="E455" s="158">
        <f t="shared" si="1264"/>
        <v>4.3283292237254827</v>
      </c>
      <c r="F455" s="158">
        <f t="shared" si="1264"/>
        <v>2.1885051949611638</v>
      </c>
      <c r="G455" s="158">
        <f t="shared" si="1264"/>
        <v>2.2338014989863035</v>
      </c>
      <c r="H455" s="158">
        <f t="shared" ref="H455" si="1265">+H276/H115</f>
        <v>2.125805775378649</v>
      </c>
      <c r="I455" s="158">
        <f t="shared" ref="I455:J455" si="1266">+I276/I97</f>
        <v>4.8238301656107598</v>
      </c>
      <c r="J455" s="180">
        <f t="shared" si="1266"/>
        <v>4.5682268465353406</v>
      </c>
      <c r="K455" s="180">
        <f t="shared" ref="K455:K457" si="1267">+K276/K97</f>
        <v>3.4644262572125246</v>
      </c>
      <c r="L455" s="127">
        <f>+K455/J455-1</f>
        <v>-0.2416256080102428</v>
      </c>
      <c r="M455" s="2"/>
      <c r="N455" s="133" t="s">
        <v>10</v>
      </c>
      <c r="O455" s="158">
        <f t="shared" ref="O455:T460" si="1268">+O276/O115</f>
        <v>3.3206062876178044</v>
      </c>
      <c r="P455" s="158">
        <f t="shared" si="1268"/>
        <v>3.140366935768296</v>
      </c>
      <c r="Q455" s="158">
        <f t="shared" si="1268"/>
        <v>4.5904077625428679</v>
      </c>
      <c r="R455" s="158">
        <f t="shared" si="1268"/>
        <v>5.0061016168084453</v>
      </c>
      <c r="S455" s="158">
        <f t="shared" si="1268"/>
        <v>1.6922618992671985</v>
      </c>
      <c r="T455" s="158">
        <f t="shared" si="1268"/>
        <v>2.3417940131850545</v>
      </c>
      <c r="U455" s="158">
        <f t="shared" ref="U455:X460" si="1269">+U276/U97</f>
        <v>2.5898322765400192</v>
      </c>
      <c r="V455" s="158">
        <f t="shared" si="1269"/>
        <v>5.1330193408294784</v>
      </c>
      <c r="W455" s="180">
        <f t="shared" si="1269"/>
        <v>6.4490108492188147</v>
      </c>
      <c r="X455" s="180">
        <f t="shared" si="1269"/>
        <v>5.847665151330097</v>
      </c>
      <c r="Y455" s="147">
        <f>+X455/W455-1</f>
        <v>-9.3246191074645268E-2</v>
      </c>
      <c r="Z455" s="127">
        <f>+POWER(X455/S455,0.2)-1</f>
        <v>0.28145389041606661</v>
      </c>
    </row>
    <row r="456" spans="1:26" x14ac:dyDescent="0.25">
      <c r="A456" s="133" t="s">
        <v>11</v>
      </c>
      <c r="B456" s="158">
        <f t="shared" si="1264"/>
        <v>1.8393154808303454</v>
      </c>
      <c r="C456" s="158">
        <f t="shared" si="1264"/>
        <v>3.662275601040323</v>
      </c>
      <c r="D456" s="158">
        <f t="shared" si="1264"/>
        <v>4.5838833418922134</v>
      </c>
      <c r="E456" s="158">
        <f t="shared" si="1264"/>
        <v>5.2626491531430908</v>
      </c>
      <c r="F456" s="158">
        <f t="shared" si="1264"/>
        <v>2.6383671733976661</v>
      </c>
      <c r="G456" s="158">
        <f t="shared" si="1264"/>
        <v>3.8652024884378857</v>
      </c>
      <c r="H456" s="158">
        <f t="shared" ref="H456" si="1270">+H277/H116</f>
        <v>2.4162255187441515</v>
      </c>
      <c r="I456" s="158">
        <f t="shared" ref="I456:J456" si="1271">+I277/I98</f>
        <v>9.387628826111337</v>
      </c>
      <c r="J456" s="180">
        <f t="shared" si="1271"/>
        <v>4.3106519415746343</v>
      </c>
      <c r="K456" s="180">
        <f t="shared" si="1267"/>
        <v>6.8078225513516042</v>
      </c>
      <c r="L456" s="127">
        <f>+K456/J456-1</f>
        <v>0.57930230592098808</v>
      </c>
      <c r="M456" s="2"/>
      <c r="N456" s="133" t="s">
        <v>11</v>
      </c>
      <c r="O456" s="158">
        <f t="shared" si="1268"/>
        <v>3.1431629124047293</v>
      </c>
      <c r="P456" s="158">
        <f t="shared" si="1268"/>
        <v>3.2852554031036734</v>
      </c>
      <c r="Q456" s="158">
        <f t="shared" si="1268"/>
        <v>4.6341877132755567</v>
      </c>
      <c r="R456" s="158">
        <f t="shared" si="1268"/>
        <v>5.0424284212394683</v>
      </c>
      <c r="S456" s="158">
        <f t="shared" si="1268"/>
        <v>1.6817498839671534</v>
      </c>
      <c r="T456" s="158">
        <f t="shared" si="1268"/>
        <v>2.4398033638121714</v>
      </c>
      <c r="U456" s="158">
        <f t="shared" si="1269"/>
        <v>2.7535531066108505</v>
      </c>
      <c r="V456" s="158">
        <f t="shared" si="1269"/>
        <v>5.1920524989721732</v>
      </c>
      <c r="W456" s="180">
        <f t="shared" si="1269"/>
        <v>6.2031756933838214</v>
      </c>
      <c r="X456" s="180">
        <f t="shared" si="1269"/>
        <v>6.0225893491644795</v>
      </c>
      <c r="Y456" s="147">
        <f>+X456/W456-1</f>
        <v>-2.9111918337562437E-2</v>
      </c>
      <c r="Z456" s="127">
        <f>+POWER(X456/S456,0.2)-1</f>
        <v>0.29063776602867142</v>
      </c>
    </row>
    <row r="457" spans="1:26" x14ac:dyDescent="0.25">
      <c r="A457" s="133" t="s">
        <v>0</v>
      </c>
      <c r="B457" s="158">
        <f t="shared" si="1264"/>
        <v>3.137396756496051</v>
      </c>
      <c r="C457" s="158">
        <f t="shared" si="1264"/>
        <v>5.0369936168545033</v>
      </c>
      <c r="D457" s="158">
        <f t="shared" si="1264"/>
        <v>4.5935006549048607</v>
      </c>
      <c r="E457" s="158">
        <f t="shared" si="1264"/>
        <v>4.6131873965192556</v>
      </c>
      <c r="F457" s="158">
        <f t="shared" si="1264"/>
        <v>0.66207214846532958</v>
      </c>
      <c r="G457" s="158">
        <f t="shared" si="1264"/>
        <v>2.2810967449895925</v>
      </c>
      <c r="H457" s="158">
        <f t="shared" ref="H457" si="1272">+H278/H117</f>
        <v>1.7899272668669273</v>
      </c>
      <c r="I457" s="158">
        <f t="shared" ref="I457:J457" si="1273">+I278/I99</f>
        <v>6.4031831326783841</v>
      </c>
      <c r="J457" s="180">
        <f t="shared" si="1273"/>
        <v>7.8760664571171981</v>
      </c>
      <c r="K457" s="180">
        <f t="shared" si="1267"/>
        <v>4.3370831809257915</v>
      </c>
      <c r="L457" s="127">
        <f>+K457/J457-1</f>
        <v>-0.44933385154380057</v>
      </c>
      <c r="M457" s="2"/>
      <c r="N457" s="133" t="s">
        <v>0</v>
      </c>
      <c r="O457" s="158">
        <f t="shared" si="1268"/>
        <v>3.3169674910323912</v>
      </c>
      <c r="P457" s="158">
        <f t="shared" si="1268"/>
        <v>3.3708584046041854</v>
      </c>
      <c r="Q457" s="158">
        <f t="shared" si="1268"/>
        <v>4.6074485924426467</v>
      </c>
      <c r="R457" s="158">
        <f t="shared" si="1268"/>
        <v>5.0611600229293314</v>
      </c>
      <c r="S457" s="158">
        <f t="shared" si="1268"/>
        <v>1.55883575297704</v>
      </c>
      <c r="T457" s="158">
        <f t="shared" si="1268"/>
        <v>2.6327009535958297</v>
      </c>
      <c r="U457" s="158">
        <f t="shared" si="1269"/>
        <v>3.3780779986008547</v>
      </c>
      <c r="V457" s="158">
        <f t="shared" si="1269"/>
        <v>5.3519160001335315</v>
      </c>
      <c r="W457" s="180">
        <f t="shared" si="1269"/>
        <v>6.2692700510663864</v>
      </c>
      <c r="X457" s="180">
        <f t="shared" si="1269"/>
        <v>5.7301102506508705</v>
      </c>
      <c r="Y457" s="147">
        <f>+X457/W457-1</f>
        <v>-8.6000410896928337E-2</v>
      </c>
      <c r="Z457" s="127">
        <f>+POWER(X457/S457,0.2)-1</f>
        <v>0.29739590854425613</v>
      </c>
    </row>
    <row r="458" spans="1:26" x14ac:dyDescent="0.25">
      <c r="A458" s="133" t="s">
        <v>1</v>
      </c>
      <c r="B458" s="158">
        <f t="shared" si="1264"/>
        <v>7.0280415512980134</v>
      </c>
      <c r="C458" s="158">
        <f t="shared" si="1264"/>
        <v>4.0049312113910087</v>
      </c>
      <c r="D458" s="158">
        <f t="shared" si="1264"/>
        <v>4.077133013267308</v>
      </c>
      <c r="E458" s="158">
        <f t="shared" si="1264"/>
        <v>4.3199537276922886</v>
      </c>
      <c r="F458" s="158">
        <f t="shared" si="1264"/>
        <v>14.338597384955003</v>
      </c>
      <c r="G458" s="158">
        <f t="shared" si="1264"/>
        <v>2.2030828772801909</v>
      </c>
      <c r="H458" s="158">
        <f t="shared" ref="H458" si="1274">+H279/H118</f>
        <v>1.2223865444740534</v>
      </c>
      <c r="I458" s="158">
        <f t="shared" ref="I458:J458" si="1275">+I279/I100</f>
        <v>5.7749642638350007</v>
      </c>
      <c r="J458" s="180">
        <f t="shared" si="1275"/>
        <v>5.3366243456013702</v>
      </c>
      <c r="K458" s="180"/>
      <c r="L458" s="127"/>
      <c r="M458" s="2"/>
      <c r="N458" s="133" t="s">
        <v>1</v>
      </c>
      <c r="O458" s="158">
        <f t="shared" si="1268"/>
        <v>3.4700383438234672</v>
      </c>
      <c r="P458" s="158">
        <f t="shared" si="1268"/>
        <v>3.2693002358117229</v>
      </c>
      <c r="Q458" s="158">
        <f t="shared" si="1268"/>
        <v>4.6195711186417068</v>
      </c>
      <c r="R458" s="158">
        <f t="shared" si="1268"/>
        <v>5.0922948982304375</v>
      </c>
      <c r="S458" s="158">
        <f t="shared" si="1268"/>
        <v>1.6175935724449007</v>
      </c>
      <c r="T458" s="158">
        <f t="shared" si="1268"/>
        <v>2.4291528212839344</v>
      </c>
      <c r="U458" s="158">
        <f t="shared" si="1269"/>
        <v>3.3866348090199416</v>
      </c>
      <c r="V458" s="158">
        <f t="shared" si="1269"/>
        <v>5.4613722105177169</v>
      </c>
      <c r="W458" s="180">
        <f t="shared" ref="W458" si="1276">+W279/W100</f>
        <v>6.247181143914152</v>
      </c>
      <c r="X458" s="180"/>
      <c r="Y458" s="147"/>
      <c r="Z458" s="127"/>
    </row>
    <row r="459" spans="1:26" x14ac:dyDescent="0.25">
      <c r="A459" s="133" t="s">
        <v>2</v>
      </c>
      <c r="B459" s="158">
        <f t="shared" si="1264"/>
        <v>3.1098866014733528</v>
      </c>
      <c r="C459" s="158">
        <f t="shared" si="1264"/>
        <v>5.1428101736559269</v>
      </c>
      <c r="D459" s="158">
        <f t="shared" si="1264"/>
        <v>3.8877911100344122</v>
      </c>
      <c r="E459" s="158">
        <f t="shared" si="1264"/>
        <v>5.6792559731434986</v>
      </c>
      <c r="F459" s="158">
        <f t="shared" si="1264"/>
        <v>4.0312022962044454</v>
      </c>
      <c r="G459" s="158">
        <f t="shared" si="1264"/>
        <v>0.97216490117852061</v>
      </c>
      <c r="H459" s="158">
        <f t="shared" ref="H459:H466" si="1277">+H280/H119</f>
        <v>1.9313043336309401</v>
      </c>
      <c r="I459" s="158">
        <f t="shared" ref="I459:J461" si="1278">+I280/I101</f>
        <v>5.204251183496881</v>
      </c>
      <c r="J459" s="180">
        <f t="shared" si="1278"/>
        <v>3.9350595063638414</v>
      </c>
      <c r="K459" s="180"/>
      <c r="L459" s="127"/>
      <c r="M459" s="2"/>
      <c r="N459" s="133" t="s">
        <v>2</v>
      </c>
      <c r="O459" s="158">
        <f t="shared" si="1268"/>
        <v>3.2917525979616764</v>
      </c>
      <c r="P459" s="158">
        <f t="shared" si="1268"/>
        <v>3.4157358222372265</v>
      </c>
      <c r="Q459" s="158">
        <f t="shared" si="1268"/>
        <v>4.5223946368384595</v>
      </c>
      <c r="R459" s="158">
        <f t="shared" si="1268"/>
        <v>5.2472000067382547</v>
      </c>
      <c r="S459" s="158">
        <f t="shared" si="1268"/>
        <v>1.548274366971929</v>
      </c>
      <c r="T459" s="158">
        <f t="shared" si="1268"/>
        <v>2.1158784110212134</v>
      </c>
      <c r="U459" s="158">
        <f t="shared" si="1269"/>
        <v>3.4075717089104458</v>
      </c>
      <c r="V459" s="158">
        <f t="shared" si="1269"/>
        <v>5.4755534766766667</v>
      </c>
      <c r="W459" s="180">
        <f t="shared" ref="W459:W463" si="1279">+W280/W101</f>
        <v>6.1084496114484148</v>
      </c>
      <c r="X459" s="180"/>
      <c r="Y459" s="147"/>
      <c r="Z459" s="127"/>
    </row>
    <row r="460" spans="1:26" x14ac:dyDescent="0.25">
      <c r="A460" s="133" t="s">
        <v>3</v>
      </c>
      <c r="B460" s="158">
        <f t="shared" si="1264"/>
        <v>7.6050367784565509</v>
      </c>
      <c r="C460" s="158">
        <f t="shared" si="1264"/>
        <v>5.495673389419597</v>
      </c>
      <c r="D460" s="158">
        <f t="shared" si="1264"/>
        <v>7.5796224764958824</v>
      </c>
      <c r="E460" s="158">
        <f t="shared" si="1264"/>
        <v>5.4982264867003261</v>
      </c>
      <c r="F460" s="158">
        <f t="shared" si="1264"/>
        <v>4.6931654922350683</v>
      </c>
      <c r="G460" s="158">
        <f t="shared" si="1264"/>
        <v>3.2021734208738963</v>
      </c>
      <c r="H460" s="158">
        <f t="shared" si="1277"/>
        <v>1.580310848515917</v>
      </c>
      <c r="I460" s="158">
        <f t="shared" ref="I460" si="1280">+I281/I102</f>
        <v>7.0054157065212115</v>
      </c>
      <c r="J460" s="180">
        <f t="shared" si="1278"/>
        <v>10.341359746494375</v>
      </c>
      <c r="K460" s="180"/>
      <c r="L460" s="127"/>
      <c r="M460" s="2"/>
      <c r="N460" s="133" t="s">
        <v>3</v>
      </c>
      <c r="O460" s="158">
        <f t="shared" si="1268"/>
        <v>3.4980170723853319</v>
      </c>
      <c r="P460" s="158">
        <f t="shared" si="1268"/>
        <v>3.4112187503892395</v>
      </c>
      <c r="Q460" s="158">
        <f t="shared" si="1268"/>
        <v>4.5865258699097087</v>
      </c>
      <c r="R460" s="158">
        <f t="shared" si="1268"/>
        <v>5.161408351334881</v>
      </c>
      <c r="S460" s="158">
        <f t="shared" si="1268"/>
        <v>1.5181654887261777</v>
      </c>
      <c r="T460" s="158">
        <f t="shared" si="1268"/>
        <v>2.1188865963360164</v>
      </c>
      <c r="U460" s="158">
        <f t="shared" ref="U460" si="1281">+U281/U102</f>
        <v>3.4514054064191</v>
      </c>
      <c r="V460" s="158">
        <f t="shared" si="1269"/>
        <v>5.5558978897895388</v>
      </c>
      <c r="W460" s="180">
        <f t="shared" si="1279"/>
        <v>6.1290009792336404</v>
      </c>
      <c r="X460" s="180"/>
      <c r="Y460" s="147"/>
      <c r="Z460" s="127"/>
    </row>
    <row r="461" spans="1:26" x14ac:dyDescent="0.25">
      <c r="A461" s="133" t="s">
        <v>4</v>
      </c>
      <c r="B461" s="158">
        <f t="shared" si="1264"/>
        <v>2.4108043962868901</v>
      </c>
      <c r="C461" s="158">
        <f t="shared" si="1264"/>
        <v>4.8513863561517256</v>
      </c>
      <c r="D461" s="158">
        <f t="shared" si="1264"/>
        <v>4.8306866838011535</v>
      </c>
      <c r="E461" s="158">
        <f t="shared" si="1264"/>
        <v>5.486916684906074</v>
      </c>
      <c r="F461" s="158">
        <f t="shared" si="1264"/>
        <v>1.5556034823310352</v>
      </c>
      <c r="G461" s="158">
        <f t="shared" si="1264"/>
        <v>3.8500627331803905</v>
      </c>
      <c r="H461" s="158">
        <f t="shared" si="1277"/>
        <v>0.737370701560768</v>
      </c>
      <c r="I461" s="158">
        <f t="shared" ref="I461" si="1282">+I282/I103</f>
        <v>7.587512413108243</v>
      </c>
      <c r="J461" s="180">
        <f t="shared" si="1278"/>
        <v>5.0931691613600583</v>
      </c>
      <c r="K461" s="180"/>
      <c r="L461" s="127"/>
      <c r="M461" s="2"/>
      <c r="N461" s="133" t="s">
        <v>4</v>
      </c>
      <c r="O461" s="158">
        <f t="shared" ref="O461:S467" si="1283">+O282/O121</f>
        <v>3.5386400553705726</v>
      </c>
      <c r="P461" s="158">
        <f t="shared" si="1283"/>
        <v>3.6145991232264127</v>
      </c>
      <c r="Q461" s="158">
        <f t="shared" si="1283"/>
        <v>4.5821733243732634</v>
      </c>
      <c r="R461" s="158">
        <f t="shared" si="1283"/>
        <v>5.2132170298283071</v>
      </c>
      <c r="S461" s="158">
        <f t="shared" si="1283"/>
        <v>1.4261792844820063</v>
      </c>
      <c r="T461" s="158">
        <v>2.5548526817353294</v>
      </c>
      <c r="U461" s="158">
        <f t="shared" ref="U461:V461" si="1284">+U282/U103</f>
        <v>3.3926804445031711</v>
      </c>
      <c r="V461" s="158">
        <f t="shared" si="1284"/>
        <v>6.0238450565084731</v>
      </c>
      <c r="W461" s="180">
        <f t="shared" si="1279"/>
        <v>5.8817754503841178</v>
      </c>
      <c r="X461" s="180"/>
      <c r="Y461" s="147"/>
      <c r="Z461" s="127"/>
    </row>
    <row r="462" spans="1:26" x14ac:dyDescent="0.25">
      <c r="A462" s="133" t="s">
        <v>5</v>
      </c>
      <c r="B462" s="158">
        <f t="shared" si="1264"/>
        <v>1.8768237201797442</v>
      </c>
      <c r="C462" s="158">
        <f t="shared" si="1264"/>
        <v>4.5458468797652269</v>
      </c>
      <c r="D462" s="158">
        <f t="shared" si="1264"/>
        <v>5.595563968249099</v>
      </c>
      <c r="E462" s="158">
        <f t="shared" si="1264"/>
        <v>1.0886492866258051</v>
      </c>
      <c r="F462" s="158">
        <f t="shared" si="1264"/>
        <v>2.1061975078753261</v>
      </c>
      <c r="G462" s="158">
        <f t="shared" si="1264"/>
        <v>5.7784203249066577</v>
      </c>
      <c r="H462" s="158">
        <f t="shared" si="1277"/>
        <v>1.37442115600068</v>
      </c>
      <c r="I462" s="158">
        <f t="shared" ref="I462:J462" si="1285">+I283/I104</f>
        <v>5.8116797100047517</v>
      </c>
      <c r="J462" s="180">
        <f t="shared" si="1285"/>
        <v>6.5153298309896757</v>
      </c>
      <c r="K462" s="180"/>
      <c r="L462" s="127"/>
      <c r="M462" s="2"/>
      <c r="N462" s="133" t="s">
        <v>5</v>
      </c>
      <c r="O462" s="158">
        <f t="shared" si="1283"/>
        <v>3.4089490459145657</v>
      </c>
      <c r="P462" s="158">
        <f t="shared" si="1283"/>
        <v>4.1789515928963592</v>
      </c>
      <c r="Q462" s="158">
        <f t="shared" si="1283"/>
        <v>4.6992854427912558</v>
      </c>
      <c r="R462" s="158">
        <f t="shared" si="1283"/>
        <v>3.9064636501290741</v>
      </c>
      <c r="S462" s="158">
        <f t="shared" si="1283"/>
        <v>1.5102193139307343</v>
      </c>
      <c r="T462" s="158">
        <v>2.6294809480692276</v>
      </c>
      <c r="U462" s="158">
        <f t="shared" ref="U462:W466" si="1286">+U283/U104</f>
        <v>3.3576589696148957</v>
      </c>
      <c r="V462" s="158">
        <f t="shared" si="1286"/>
        <v>6.2573344439677694</v>
      </c>
      <c r="W462" s="180">
        <f t="shared" si="1279"/>
        <v>5.9497772764102788</v>
      </c>
      <c r="X462" s="180"/>
      <c r="Y462" s="147"/>
      <c r="Z462" s="127"/>
    </row>
    <row r="463" spans="1:26" x14ac:dyDescent="0.25">
      <c r="A463" s="133" t="s">
        <v>6</v>
      </c>
      <c r="B463" s="158">
        <f t="shared" si="1264"/>
        <v>1.4182722304444144</v>
      </c>
      <c r="C463" s="158">
        <f t="shared" si="1264"/>
        <v>4.2086098394395552</v>
      </c>
      <c r="D463" s="158">
        <f t="shared" si="1264"/>
        <v>5.109448228806639</v>
      </c>
      <c r="E463" s="158">
        <f t="shared" si="1264"/>
        <v>1.4309915624192988</v>
      </c>
      <c r="F463" s="158">
        <f t="shared" si="1264"/>
        <v>3.6791532024979388</v>
      </c>
      <c r="G463" s="158">
        <f t="shared" si="1264"/>
        <v>6.5483578784930723</v>
      </c>
      <c r="H463" s="158">
        <f t="shared" si="1277"/>
        <v>1.3646158072917258</v>
      </c>
      <c r="I463" s="158">
        <f>+I284/I105</f>
        <v>8.7283891136035141</v>
      </c>
      <c r="J463" s="180">
        <f t="shared" ref="J463:J466" si="1287">+J284/J105</f>
        <v>7.0903152136388981</v>
      </c>
      <c r="K463" s="180"/>
      <c r="L463" s="127"/>
      <c r="M463" s="2"/>
      <c r="N463" s="133" t="s">
        <v>6</v>
      </c>
      <c r="O463" s="158">
        <f t="shared" si="1283"/>
        <v>3.0581852156812745</v>
      </c>
      <c r="P463" s="158">
        <f t="shared" si="1283"/>
        <v>5.1462564102564103</v>
      </c>
      <c r="Q463" s="158">
        <f t="shared" si="1283"/>
        <v>4.7730927314609222</v>
      </c>
      <c r="R463" s="158">
        <f t="shared" si="1283"/>
        <v>3.0454040417581902</v>
      </c>
      <c r="S463" s="158">
        <f t="shared" si="1283"/>
        <v>1.5926775155664152</v>
      </c>
      <c r="T463" s="158">
        <v>2.3368660306616822</v>
      </c>
      <c r="U463" s="158">
        <f t="shared" ref="U463" si="1288">+U284/U105</f>
        <v>4.1985960398254836</v>
      </c>
      <c r="V463" s="158">
        <f t="shared" si="1286"/>
        <v>6.7073125437231562</v>
      </c>
      <c r="W463" s="180">
        <f t="shared" si="1279"/>
        <v>5.7927261720874705</v>
      </c>
      <c r="X463" s="180"/>
      <c r="Y463" s="147"/>
      <c r="Z463" s="127"/>
    </row>
    <row r="464" spans="1:26" x14ac:dyDescent="0.25">
      <c r="A464" s="133" t="s">
        <v>7</v>
      </c>
      <c r="B464" s="158">
        <f t="shared" si="1264"/>
        <v>3.5367277834614943</v>
      </c>
      <c r="C464" s="158">
        <f t="shared" si="1264"/>
        <v>4.011260062446155</v>
      </c>
      <c r="D464" s="158">
        <f t="shared" si="1264"/>
        <v>5.477220590762701</v>
      </c>
      <c r="E464" s="158">
        <f t="shared" si="1264"/>
        <v>0.65204399167428029</v>
      </c>
      <c r="F464" s="158">
        <f t="shared" si="1264"/>
        <v>1.8926563603040032</v>
      </c>
      <c r="G464" s="158">
        <f t="shared" si="1264"/>
        <v>1.3990183489634986</v>
      </c>
      <c r="H464" s="158">
        <f t="shared" si="1277"/>
        <v>2.8072123764132466</v>
      </c>
      <c r="I464" s="158">
        <f t="shared" ref="I464" si="1289">+I285/I106</f>
        <v>4.9760577472841634</v>
      </c>
      <c r="J464" s="180">
        <f t="shared" si="1287"/>
        <v>6.9733213300753061</v>
      </c>
      <c r="K464" s="180"/>
      <c r="L464" s="127"/>
      <c r="M464" s="2"/>
      <c r="N464" s="133" t="s">
        <v>7</v>
      </c>
      <c r="O464" s="158">
        <f t="shared" si="1283"/>
        <v>3.0061452916810216</v>
      </c>
      <c r="P464" s="158">
        <f t="shared" si="1283"/>
        <v>5.2455854632750754</v>
      </c>
      <c r="Q464" s="158">
        <f t="shared" si="1283"/>
        <v>4.8842606782694631</v>
      </c>
      <c r="R464" s="158">
        <f t="shared" si="1283"/>
        <v>2.2071027983031026</v>
      </c>
      <c r="S464" s="158">
        <f t="shared" si="1283"/>
        <v>1.9299191403836911</v>
      </c>
      <c r="T464" s="158">
        <f>+T285/T124</f>
        <v>2.4483787113551996</v>
      </c>
      <c r="U464" s="158">
        <f t="shared" ref="U464" si="1290">+U285/U106</f>
        <v>4.3007508681819226</v>
      </c>
      <c r="V464" s="158">
        <f t="shared" si="1286"/>
        <v>6.5938413620813332</v>
      </c>
      <c r="W464" s="180">
        <f t="shared" si="1286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291">+B286/B125</f>
        <v>7.0797118520079838</v>
      </c>
      <c r="C465" s="158">
        <f t="shared" si="1291"/>
        <v>4.5069231913211594</v>
      </c>
      <c r="D465" s="158">
        <f t="shared" si="1291"/>
        <v>5.2665853360291885</v>
      </c>
      <c r="E465" s="158">
        <f t="shared" si="1291"/>
        <v>1.4775267968698624</v>
      </c>
      <c r="F465" s="158">
        <f t="shared" si="1291"/>
        <v>3.2588016957332822</v>
      </c>
      <c r="G465" s="158">
        <f t="shared" si="1291"/>
        <v>3.8559187559504915</v>
      </c>
      <c r="H465" s="158">
        <f t="shared" si="1277"/>
        <v>5.2174926179579328</v>
      </c>
      <c r="I465" s="158">
        <f t="shared" ref="I465" si="1292">+I286/I107</f>
        <v>5.3528752965245996</v>
      </c>
      <c r="J465" s="180">
        <f t="shared" si="1287"/>
        <v>8.8527492704678856</v>
      </c>
      <c r="K465" s="180"/>
      <c r="L465" s="127"/>
      <c r="M465" s="2"/>
      <c r="N465" s="133" t="s">
        <v>8</v>
      </c>
      <c r="O465" s="158">
        <f t="shared" si="1283"/>
        <v>2.9234164422741458</v>
      </c>
      <c r="P465" s="158">
        <f t="shared" si="1283"/>
        <v>5.0057778053358746</v>
      </c>
      <c r="Q465" s="158">
        <f t="shared" si="1283"/>
        <v>4.9632515745643708</v>
      </c>
      <c r="R465" s="158">
        <f t="shared" si="1283"/>
        <v>2.0380333925390666</v>
      </c>
      <c r="S465" s="158">
        <f t="shared" si="1283"/>
        <v>2.1428642381730412</v>
      </c>
      <c r="T465" s="158">
        <f t="shared" ref="T465" si="1293">+T286/T125</f>
        <v>2.4281834408253005</v>
      </c>
      <c r="U465" s="158">
        <f t="shared" ref="U465" si="1294">+U286/U107</f>
        <v>4.4361408039377963</v>
      </c>
      <c r="V465" s="158">
        <f t="shared" si="1286"/>
        <v>6.4737302815987334</v>
      </c>
      <c r="W465" s="180">
        <f t="shared" si="1286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291"/>
        <v>18.248912225302469</v>
      </c>
      <c r="C466" s="158">
        <f t="shared" si="1291"/>
        <v>4.5461790950582461</v>
      </c>
      <c r="D466" s="158">
        <f t="shared" si="1291"/>
        <v>5.2969561810426251</v>
      </c>
      <c r="E466" s="158">
        <f t="shared" si="1291"/>
        <v>0.96718380168547324</v>
      </c>
      <c r="F466" s="158">
        <f t="shared" si="1291"/>
        <v>1.4185265125386617</v>
      </c>
      <c r="G466" s="158">
        <f t="shared" si="1291"/>
        <v>4.3073524464400652</v>
      </c>
      <c r="H466" s="158">
        <f t="shared" si="1277"/>
        <v>2.5772634148467812</v>
      </c>
      <c r="I466" s="158">
        <f t="shared" ref="I466" si="1295">+I287/I108</f>
        <v>6.8923943601862865</v>
      </c>
      <c r="J466" s="180">
        <f t="shared" si="1287"/>
        <v>4.8630384940267897</v>
      </c>
      <c r="K466" s="180"/>
      <c r="L466" s="127"/>
      <c r="M466" s="2"/>
      <c r="N466" s="133" t="s">
        <v>9</v>
      </c>
      <c r="O466" s="158">
        <f t="shared" si="1283"/>
        <v>3.1022799833920791</v>
      </c>
      <c r="P466" s="158">
        <f t="shared" si="1283"/>
        <v>4.5050926333324472</v>
      </c>
      <c r="Q466" s="158">
        <f t="shared" si="1283"/>
        <v>5.0606862198081419</v>
      </c>
      <c r="R466" s="158">
        <f t="shared" si="1283"/>
        <v>1.7117386610928016</v>
      </c>
      <c r="S466" s="158">
        <f t="shared" si="1283"/>
        <v>2.3275170909418912</v>
      </c>
      <c r="T466" s="158">
        <f t="shared" ref="T466" si="1296">+T287/T126</f>
        <v>2.7066377798694097</v>
      </c>
      <c r="U466" s="158">
        <f t="shared" ref="U466" si="1297">+U287/U108</f>
        <v>5.0292509755972423</v>
      </c>
      <c r="V466" s="158">
        <f t="shared" si="1286"/>
        <v>6.4502846802691352</v>
      </c>
      <c r="W466" s="180">
        <f t="shared" si="1286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291"/>
        <v>3.1022799833920787</v>
      </c>
      <c r="C467" s="182">
        <f t="shared" si="1291"/>
        <v>4.5050926333324472</v>
      </c>
      <c r="D467" s="182">
        <f t="shared" si="1291"/>
        <v>5.0606862198081419</v>
      </c>
      <c r="E467" s="182">
        <f t="shared" si="1291"/>
        <v>1.7117386610928016</v>
      </c>
      <c r="F467" s="182">
        <f t="shared" si="1291"/>
        <v>2.3275170909418912</v>
      </c>
      <c r="G467" s="182">
        <f t="shared" ref="G467" si="1298">+G288/G127</f>
        <v>2.7066377798694097</v>
      </c>
      <c r="H467" s="182">
        <f t="shared" ref="H467:I467" si="1299">+H288/H109</f>
        <v>5.0292509755972423</v>
      </c>
      <c r="I467" s="182">
        <f t="shared" si="1299"/>
        <v>6.4502846802691352</v>
      </c>
      <c r="J467" s="183">
        <f t="shared" ref="J467" si="1300">+J288/J109</f>
        <v>5.9126329175572936</v>
      </c>
      <c r="K467" s="183"/>
      <c r="L467" s="137"/>
      <c r="M467" s="3"/>
      <c r="N467" s="134" t="s">
        <v>14</v>
      </c>
      <c r="O467" s="182">
        <f t="shared" si="1283"/>
        <v>3.2370389494390728</v>
      </c>
      <c r="P467" s="182">
        <f t="shared" si="1283"/>
        <v>3.8186697140798724</v>
      </c>
      <c r="Q467" s="182">
        <f t="shared" si="1283"/>
        <v>4.7082796230291093</v>
      </c>
      <c r="R467" s="182">
        <f t="shared" si="1283"/>
        <v>3.4046332410801714</v>
      </c>
      <c r="S467" s="182">
        <f t="shared" si="1283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5.8659715209529075</v>
      </c>
      <c r="Y467" s="149">
        <f>+X467/W467-1</f>
        <v>-3.7174788013810467E-2</v>
      </c>
      <c r="Z467" s="156">
        <f>+POWER(X467/S467,0.2)-1</f>
        <v>0.28544642839965229</v>
      </c>
    </row>
    <row r="468" spans="1:26" ht="25.5" x14ac:dyDescent="0.25">
      <c r="A468" s="135" t="s">
        <v>15</v>
      </c>
      <c r="B468" s="138">
        <f t="shared" ref="B468:I468" si="1301">+B467/B$539</f>
        <v>0.98465393481238761</v>
      </c>
      <c r="C468" s="138">
        <f t="shared" si="1301"/>
        <v>1.2546041368431371</v>
      </c>
      <c r="D468" s="138">
        <f t="shared" si="1301"/>
        <v>1.6842656110357166</v>
      </c>
      <c r="E468" s="138">
        <f t="shared" si="1301"/>
        <v>0.65550275101661992</v>
      </c>
      <c r="F468" s="138">
        <f t="shared" si="1301"/>
        <v>1.1660556449113599</v>
      </c>
      <c r="G468" s="138">
        <f t="shared" si="1301"/>
        <v>0.94624731075733381</v>
      </c>
      <c r="H468" s="138">
        <f t="shared" si="1301"/>
        <v>1.5760015319894871</v>
      </c>
      <c r="I468" s="138">
        <f t="shared" si="1301"/>
        <v>1.8293373167759055</v>
      </c>
      <c r="J468" s="139">
        <f t="shared" ref="J468" si="1302">+J467/J$539</f>
        <v>1.6953434713309641</v>
      </c>
      <c r="K468" s="139"/>
      <c r="L468" s="140"/>
      <c r="M468" s="3"/>
      <c r="N468" s="135" t="s">
        <v>15</v>
      </c>
      <c r="O468" s="138">
        <f t="shared" ref="O468:T468" si="1303">+O467/O$539</f>
        <v>1.0413530233353216</v>
      </c>
      <c r="P468" s="138">
        <f t="shared" si="1303"/>
        <v>1.1332935455349566</v>
      </c>
      <c r="Q468" s="138">
        <f t="shared" si="1303"/>
        <v>1.3696173435408101</v>
      </c>
      <c r="R468" s="138">
        <f t="shared" si="1303"/>
        <v>1.2346274353395645</v>
      </c>
      <c r="S468" s="138">
        <f t="shared" si="1303"/>
        <v>0.79193900000948525</v>
      </c>
      <c r="T468" s="138">
        <f t="shared" si="1303"/>
        <v>0.96979043588887881</v>
      </c>
      <c r="U468" s="138">
        <f t="shared" ref="U468:X468" si="1304">+U467/U$539</f>
        <v>0.75021770246414154</v>
      </c>
      <c r="V468" s="138">
        <f t="shared" si="1304"/>
        <v>0.52294535238956386</v>
      </c>
      <c r="W468" s="139">
        <f t="shared" si="1304"/>
        <v>1.7370194869614237</v>
      </c>
      <c r="X468" s="139">
        <f t="shared" si="1304"/>
        <v>1.6789221264384402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305">+D467/C467-1</f>
        <v>0.12332567423030283</v>
      </c>
      <c r="E469" s="142">
        <f t="shared" si="1305"/>
        <v>-0.66175759832869141</v>
      </c>
      <c r="F469" s="142">
        <f t="shared" si="1305"/>
        <v>0.35973857683156307</v>
      </c>
      <c r="G469" s="142">
        <f t="shared" si="1305"/>
        <v>0.1628863179578619</v>
      </c>
      <c r="H469" s="142">
        <f t="shared" si="1305"/>
        <v>0.85811748177101643</v>
      </c>
      <c r="I469" s="142">
        <f t="shared" ref="I469:J469" si="1306">+I467/H467-1</f>
        <v>0.28255374638628772</v>
      </c>
      <c r="J469" s="143">
        <f t="shared" si="1306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307">+Q467/P467-1</f>
        <v>0.23296330281436584</v>
      </c>
      <c r="R469" s="142">
        <f t="shared" si="1307"/>
        <v>-0.27688380604511054</v>
      </c>
      <c r="S469" s="142">
        <f t="shared" si="1307"/>
        <v>-0.50909245674820625</v>
      </c>
      <c r="T469" s="142">
        <f t="shared" si="1307"/>
        <v>0.4346983458450695</v>
      </c>
      <c r="U469" s="142">
        <f t="shared" si="1307"/>
        <v>-5.3784679373929056E-2</v>
      </c>
      <c r="V469" s="142">
        <f t="shared" si="1307"/>
        <v>-0.21757723261774131</v>
      </c>
      <c r="W469" s="143">
        <f t="shared" ref="W469" si="1308">+W467/V467-1</f>
        <v>2.4318666402658895</v>
      </c>
      <c r="X469" s="143">
        <f t="shared" ref="X469" si="1309">+X467/W467-1</f>
        <v>-3.7174788013810467E-2</v>
      </c>
      <c r="Y469" s="144"/>
      <c r="Z469" s="145"/>
    </row>
    <row r="470" spans="1:26" ht="15.75" thickBot="1" x14ac:dyDescent="0.3"/>
    <row r="471" spans="1:26" ht="15.75" thickBot="1" x14ac:dyDescent="0.3">
      <c r="A471" s="347" t="s">
        <v>149</v>
      </c>
      <c r="B471" s="348"/>
      <c r="C471" s="348"/>
      <c r="D471" s="348"/>
      <c r="E471" s="348"/>
      <c r="F471" s="348"/>
      <c r="G471" s="348"/>
      <c r="H471" s="348"/>
      <c r="I471" s="348"/>
      <c r="J471" s="348"/>
      <c r="K471" s="348"/>
      <c r="L471" s="349"/>
      <c r="M471" s="2"/>
      <c r="N471" s="347" t="s">
        <v>150</v>
      </c>
      <c r="O471" s="348"/>
      <c r="P471" s="348"/>
      <c r="Q471" s="348"/>
      <c r="R471" s="348"/>
      <c r="S471" s="348"/>
      <c r="T471" s="348"/>
      <c r="U471" s="348"/>
      <c r="V471" s="348"/>
      <c r="W471" s="348"/>
      <c r="X471" s="348"/>
      <c r="Y471" s="348"/>
      <c r="Z471" s="349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310">+C472+1</f>
        <v>2018</v>
      </c>
      <c r="E472" s="129">
        <f t="shared" ref="E472" si="1311">+D472+1</f>
        <v>2019</v>
      </c>
      <c r="F472" s="129">
        <f t="shared" ref="F472" si="1312">+E472+1</f>
        <v>2020</v>
      </c>
      <c r="G472" s="129">
        <f t="shared" ref="G472" si="1313">+F472+1</f>
        <v>2021</v>
      </c>
      <c r="H472" s="129">
        <f t="shared" ref="H472" si="1314">+G472+1</f>
        <v>2022</v>
      </c>
      <c r="I472" s="129">
        <f t="shared" ref="I472" si="1315">+H472+1</f>
        <v>2023</v>
      </c>
      <c r="J472" s="130">
        <f t="shared" ref="J472:K472" si="1316">+I472+1</f>
        <v>2024</v>
      </c>
      <c r="K472" s="130">
        <f t="shared" si="1316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317">+P472+1</f>
        <v>2018</v>
      </c>
      <c r="R472" s="129">
        <f t="shared" si="1317"/>
        <v>2019</v>
      </c>
      <c r="S472" s="129">
        <f t="shared" si="1317"/>
        <v>2020</v>
      </c>
      <c r="T472" s="129">
        <f t="shared" si="1317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318">+B294/B115</f>
        <v>3.2486245742729891</v>
      </c>
      <c r="C473" s="158">
        <f t="shared" si="1318"/>
        <v>3.2822835520327946</v>
      </c>
      <c r="D473" s="158">
        <f t="shared" si="1318"/>
        <v>2.3969552190460766</v>
      </c>
      <c r="E473" s="158">
        <f t="shared" si="1318"/>
        <v>1.3976589947448022</v>
      </c>
      <c r="F473" s="158">
        <f t="shared" si="1318"/>
        <v>0.76845176849396435</v>
      </c>
      <c r="G473" s="158">
        <f t="shared" si="1318"/>
        <v>2.9401781536965514</v>
      </c>
      <c r="H473" s="158">
        <f t="shared" si="1318"/>
        <v>3.2493055919501073</v>
      </c>
      <c r="I473" s="158">
        <f t="shared" si="1318"/>
        <v>4.2956606633609944</v>
      </c>
      <c r="J473" s="180">
        <f t="shared" si="1318"/>
        <v>3.7686448746429697</v>
      </c>
      <c r="K473" s="180">
        <f t="shared" ref="K473:K475" si="1319">+K294/K115</f>
        <v>4.076490481801895</v>
      </c>
      <c r="L473" s="127">
        <f>+K473/J473-1</f>
        <v>8.1686021739602044E-2</v>
      </c>
      <c r="M473" s="2"/>
      <c r="N473" s="133" t="s">
        <v>10</v>
      </c>
      <c r="O473" s="158">
        <f t="shared" ref="O473:T482" si="1320">+O294/O133</f>
        <v>3.019398663660871</v>
      </c>
      <c r="P473" s="158">
        <f t="shared" si="1320"/>
        <v>1.8313881452590088</v>
      </c>
      <c r="Q473" s="158">
        <f t="shared" si="1320"/>
        <v>1.7927207183847504</v>
      </c>
      <c r="R473" s="158">
        <f t="shared" si="1320"/>
        <v>1.8025801292132089</v>
      </c>
      <c r="S473" s="158">
        <f t="shared" si="1320"/>
        <v>1.7753206812218434</v>
      </c>
      <c r="T473" s="158">
        <f t="shared" si="1320"/>
        <v>1.2580207922973685</v>
      </c>
      <c r="U473" s="158">
        <f t="shared" ref="U473:X478" si="1321">+U294/U115</f>
        <v>2.5707303889747752</v>
      </c>
      <c r="V473" s="158">
        <f t="shared" si="1321"/>
        <v>3.442653774472237</v>
      </c>
      <c r="W473" s="180">
        <f t="shared" si="1321"/>
        <v>3.32974042384126</v>
      </c>
      <c r="X473" s="180">
        <f t="shared" si="1321"/>
        <v>3.4961682052061267</v>
      </c>
      <c r="Y473" s="147">
        <f>+X473/W473-1</f>
        <v>4.9982208875270828E-2</v>
      </c>
      <c r="Z473" s="127">
        <f>+POWER(X473/S473,0.2)-1</f>
        <v>0.14515190878416906</v>
      </c>
    </row>
    <row r="474" spans="1:26" x14ac:dyDescent="0.25">
      <c r="A474" s="133" t="s">
        <v>11</v>
      </c>
      <c r="B474" s="158">
        <f t="shared" ref="B474:J474" si="1322">+B295/B116</f>
        <v>3.1629630517946441</v>
      </c>
      <c r="C474" s="158">
        <f t="shared" si="1322"/>
        <v>2.3428414353075508</v>
      </c>
      <c r="D474" s="158">
        <f t="shared" si="1322"/>
        <v>2.8502793411615492</v>
      </c>
      <c r="E474" s="158">
        <f t="shared" si="1322"/>
        <v>5.1015476484550364</v>
      </c>
      <c r="F474" s="158">
        <f t="shared" si="1322"/>
        <v>3.13187470223464</v>
      </c>
      <c r="G474" s="158">
        <f t="shared" si="1322"/>
        <v>3.2708848491758653</v>
      </c>
      <c r="H474" s="158">
        <f t="shared" si="1322"/>
        <v>3.3012478651494224</v>
      </c>
      <c r="I474" s="158">
        <f t="shared" si="1322"/>
        <v>3.3880639850157848</v>
      </c>
      <c r="J474" s="180">
        <f t="shared" si="1322"/>
        <v>3.4644797294263778</v>
      </c>
      <c r="K474" s="180">
        <f t="shared" si="1319"/>
        <v>3.0607039619112393</v>
      </c>
      <c r="L474" s="127">
        <f>+K474/J474-1</f>
        <v>-0.11654730263986646</v>
      </c>
      <c r="M474" s="2"/>
      <c r="N474" s="133" t="s">
        <v>11</v>
      </c>
      <c r="O474" s="158">
        <f t="shared" si="1320"/>
        <v>2.9559562896450999</v>
      </c>
      <c r="P474" s="158">
        <f t="shared" si="1320"/>
        <v>1.7648719829141664</v>
      </c>
      <c r="Q474" s="158">
        <f t="shared" si="1320"/>
        <v>1.8209319761699228</v>
      </c>
      <c r="R474" s="158">
        <f t="shared" si="1320"/>
        <v>1.8135496406862981</v>
      </c>
      <c r="S474" s="158">
        <f t="shared" si="1320"/>
        <v>1.7632225646275583</v>
      </c>
      <c r="T474" s="158">
        <f t="shared" si="1320"/>
        <v>1.3063088428916581</v>
      </c>
      <c r="U474" s="158">
        <f t="shared" si="1321"/>
        <v>2.5658260146388874</v>
      </c>
      <c r="V474" s="158">
        <f t="shared" si="1321"/>
        <v>3.4482747060328216</v>
      </c>
      <c r="W474" s="180">
        <f t="shared" si="1321"/>
        <v>3.329382128234164</v>
      </c>
      <c r="X474" s="180">
        <f t="shared" si="1321"/>
        <v>3.4674784596830448</v>
      </c>
      <c r="Y474" s="147">
        <f>+X474/W474-1</f>
        <v>4.1478065938356012E-2</v>
      </c>
      <c r="Z474" s="127">
        <f>+POWER(X474/S474,0.2)-1</f>
        <v>0.14483085904710591</v>
      </c>
    </row>
    <row r="475" spans="1:26" x14ac:dyDescent="0.25">
      <c r="A475" s="133" t="s">
        <v>0</v>
      </c>
      <c r="B475" s="158">
        <f t="shared" ref="B475:J475" si="1323">+B296/B117</f>
        <v>3.6221137035027429</v>
      </c>
      <c r="C475" s="158">
        <f t="shared" si="1323"/>
        <v>2.8899665677216633</v>
      </c>
      <c r="D475" s="158">
        <f t="shared" si="1323"/>
        <v>2.369064861044059</v>
      </c>
      <c r="E475" s="158">
        <f t="shared" si="1323"/>
        <v>3.8548552217489669</v>
      </c>
      <c r="F475" s="158">
        <f t="shared" si="1323"/>
        <v>0.83056630519786168</v>
      </c>
      <c r="G475" s="158">
        <f t="shared" si="1323"/>
        <v>2.1229617886644911</v>
      </c>
      <c r="H475" s="158">
        <f t="shared" si="1323"/>
        <v>3.3737817266259276</v>
      </c>
      <c r="I475" s="158">
        <f t="shared" si="1323"/>
        <v>3.241333671349508</v>
      </c>
      <c r="J475" s="180">
        <f t="shared" si="1323"/>
        <v>4.3509552473174571</v>
      </c>
      <c r="K475" s="180">
        <f t="shared" si="1319"/>
        <v>3.8618682487267031</v>
      </c>
      <c r="L475" s="127">
        <f>+K475/J475-1</f>
        <v>-0.11240910806708393</v>
      </c>
      <c r="M475" s="2"/>
      <c r="N475" s="133" t="s">
        <v>0</v>
      </c>
      <c r="O475" s="158">
        <f t="shared" si="1320"/>
        <v>2.4509478968521039</v>
      </c>
      <c r="P475" s="158">
        <f t="shared" si="1320"/>
        <v>1.879329382719364</v>
      </c>
      <c r="Q475" s="158">
        <f t="shared" si="1320"/>
        <v>1.6469560837151793</v>
      </c>
      <c r="R475" s="158">
        <f t="shared" si="1320"/>
        <v>2.0050976763606072</v>
      </c>
      <c r="S475" s="158">
        <f t="shared" si="1320"/>
        <v>1.7097640756027621</v>
      </c>
      <c r="T475" s="158">
        <f t="shared" si="1320"/>
        <v>1.3292620687594106</v>
      </c>
      <c r="U475" s="158">
        <f t="shared" si="1321"/>
        <v>2.6854225288610971</v>
      </c>
      <c r="V475" s="158">
        <f t="shared" si="1321"/>
        <v>3.4403968184966791</v>
      </c>
      <c r="W475" s="180">
        <f t="shared" si="1321"/>
        <v>3.3904585641206162</v>
      </c>
      <c r="X475" s="180">
        <f t="shared" si="1321"/>
        <v>3.4422232809388142</v>
      </c>
      <c r="Y475" s="147">
        <f>+X475/W475-1</f>
        <v>1.5267762705020393E-2</v>
      </c>
      <c r="Z475" s="127">
        <f>+POWER(X475/S475,0.2)-1</f>
        <v>0.15021908662782146</v>
      </c>
    </row>
    <row r="476" spans="1:26" x14ac:dyDescent="0.25">
      <c r="A476" s="133" t="s">
        <v>1</v>
      </c>
      <c r="B476" s="158">
        <f t="shared" ref="B476:J476" si="1324">+B297/B118</f>
        <v>4.3372419303885676</v>
      </c>
      <c r="C476" s="158">
        <f t="shared" si="1324"/>
        <v>1.6601446697497926</v>
      </c>
      <c r="D476" s="158">
        <f t="shared" si="1324"/>
        <v>2.9670478641092077</v>
      </c>
      <c r="E476" s="158">
        <f t="shared" si="1324"/>
        <v>5.2026220974369481</v>
      </c>
      <c r="F476" s="158">
        <f t="shared" si="1324"/>
        <v>3.3146544404822551</v>
      </c>
      <c r="G476" s="158">
        <f t="shared" si="1324"/>
        <v>3.1166878582257724</v>
      </c>
      <c r="H476" s="158">
        <f t="shared" si="1324"/>
        <v>2.7634420589764517</v>
      </c>
      <c r="I476" s="158">
        <f t="shared" si="1324"/>
        <v>3.4560300945792539</v>
      </c>
      <c r="J476" s="180">
        <f t="shared" si="1324"/>
        <v>3.2900224695458751</v>
      </c>
      <c r="K476" s="180"/>
      <c r="L476" s="127"/>
      <c r="M476" s="2"/>
      <c r="N476" s="133" t="s">
        <v>1</v>
      </c>
      <c r="O476" s="158">
        <f t="shared" si="1320"/>
        <v>2.1901903059690917</v>
      </c>
      <c r="P476" s="158">
        <f t="shared" si="1320"/>
        <v>1.9010710071279915</v>
      </c>
      <c r="Q476" s="158">
        <f t="shared" si="1320"/>
        <v>1.6851687746717152</v>
      </c>
      <c r="R476" s="158">
        <f t="shared" si="1320"/>
        <v>1.9905981824402543</v>
      </c>
      <c r="S476" s="158">
        <f t="shared" si="1320"/>
        <v>1.6239877904741686</v>
      </c>
      <c r="T476" s="158">
        <f t="shared" si="1320"/>
        <v>1.4218138285825219</v>
      </c>
      <c r="U476" s="158">
        <f t="shared" si="1321"/>
        <v>2.66817480123906</v>
      </c>
      <c r="V476" s="158">
        <f t="shared" si="1321"/>
        <v>3.522602293400797</v>
      </c>
      <c r="W476" s="180">
        <f t="shared" ref="W476" si="1325">+W297/W118</f>
        <v>3.374379404314062</v>
      </c>
      <c r="X476" s="180"/>
      <c r="Y476" s="147"/>
      <c r="Z476" s="127"/>
    </row>
    <row r="477" spans="1:26" x14ac:dyDescent="0.25">
      <c r="A477" s="133" t="s">
        <v>2</v>
      </c>
      <c r="B477" s="158">
        <f t="shared" ref="B477:J479" si="1326">+B298/B119</f>
        <v>3.8548404261608864</v>
      </c>
      <c r="C477" s="158">
        <f t="shared" si="1326"/>
        <v>4.5185641007413198</v>
      </c>
      <c r="D477" s="158">
        <f t="shared" si="1326"/>
        <v>2.6181295988745252</v>
      </c>
      <c r="E477" s="158">
        <f t="shared" si="1326"/>
        <v>3.7232176926071388</v>
      </c>
      <c r="F477" s="158">
        <f t="shared" si="1326"/>
        <v>3.1222057000014822</v>
      </c>
      <c r="G477" s="158">
        <f t="shared" si="1326"/>
        <v>1.2967293886264857</v>
      </c>
      <c r="H477" s="158">
        <f t="shared" si="1326"/>
        <v>3.7470820101136053</v>
      </c>
      <c r="I477" s="158">
        <f t="shared" si="1326"/>
        <v>3.1443183031586308</v>
      </c>
      <c r="J477" s="180">
        <f t="shared" si="1326"/>
        <v>3.3228127405085193</v>
      </c>
      <c r="K477" s="180"/>
      <c r="L477" s="127"/>
      <c r="M477" s="2"/>
      <c r="N477" s="133" t="s">
        <v>2</v>
      </c>
      <c r="O477" s="158">
        <f t="shared" si="1320"/>
        <v>2.096494772766373</v>
      </c>
      <c r="P477" s="158">
        <f t="shared" si="1320"/>
        <v>1.9063400784018281</v>
      </c>
      <c r="Q477" s="158">
        <f t="shared" si="1320"/>
        <v>1.6876025158168479</v>
      </c>
      <c r="R477" s="158">
        <f t="shared" si="1320"/>
        <v>1.9217041255590444</v>
      </c>
      <c r="S477" s="158">
        <f t="shared" si="1320"/>
        <v>1.4115772627247007</v>
      </c>
      <c r="T477" s="158">
        <f t="shared" si="1320"/>
        <v>1.5279693699079595</v>
      </c>
      <c r="U477" s="158">
        <f t="shared" si="1321"/>
        <v>3.1037485166358811</v>
      </c>
      <c r="V477" s="158">
        <f t="shared" si="1321"/>
        <v>3.4628338923509574</v>
      </c>
      <c r="W477" s="180">
        <f t="shared" ref="W477:W481" si="1327">+W298/W119</f>
        <v>3.3987532276703645</v>
      </c>
      <c r="X477" s="180"/>
      <c r="Y477" s="147"/>
      <c r="Z477" s="127"/>
    </row>
    <row r="478" spans="1:26" x14ac:dyDescent="0.25">
      <c r="A478" s="133" t="s">
        <v>3</v>
      </c>
      <c r="B478" s="158">
        <f t="shared" ref="B478:I478" si="1328">+B299/B120</f>
        <v>5.2778124090927978</v>
      </c>
      <c r="C478" s="158">
        <f t="shared" si="1328"/>
        <v>3.1359840305096132</v>
      </c>
      <c r="D478" s="158">
        <f t="shared" si="1328"/>
        <v>6.0296868546996096</v>
      </c>
      <c r="E478" s="158">
        <f t="shared" si="1328"/>
        <v>5.7496697711530862</v>
      </c>
      <c r="F478" s="158">
        <f t="shared" si="1328"/>
        <v>3.4115527582039178</v>
      </c>
      <c r="G478" s="158">
        <f t="shared" si="1328"/>
        <v>3.4376273488793299</v>
      </c>
      <c r="H478" s="158">
        <f t="shared" si="1328"/>
        <v>3.194298408089395</v>
      </c>
      <c r="I478" s="158">
        <f t="shared" si="1328"/>
        <v>2.7043733580590326</v>
      </c>
      <c r="J478" s="180">
        <f t="shared" si="1326"/>
        <v>2.8930133727049174</v>
      </c>
      <c r="K478" s="180"/>
      <c r="L478" s="127"/>
      <c r="M478" s="2"/>
      <c r="N478" s="133" t="s">
        <v>3</v>
      </c>
      <c r="O478" s="158">
        <f t="shared" si="1320"/>
        <v>1.8108091104224509</v>
      </c>
      <c r="P478" s="158">
        <f t="shared" si="1320"/>
        <v>1.975050934252089</v>
      </c>
      <c r="Q478" s="158">
        <f t="shared" si="1320"/>
        <v>1.8015616416149574</v>
      </c>
      <c r="R478" s="158">
        <f t="shared" si="1320"/>
        <v>1.8931593896211081</v>
      </c>
      <c r="S478" s="158">
        <f t="shared" si="1320"/>
        <v>1.1763324171421248</v>
      </c>
      <c r="T478" s="158">
        <f t="shared" si="1320"/>
        <v>1.8656077433386111</v>
      </c>
      <c r="U478" s="158">
        <f t="shared" ref="U478" si="1329">+U299/U120</f>
        <v>3.0904481881868118</v>
      </c>
      <c r="V478" s="158">
        <f t="shared" si="1321"/>
        <v>3.4042135400758404</v>
      </c>
      <c r="W478" s="180">
        <f t="shared" si="1327"/>
        <v>3.4546555352570381</v>
      </c>
      <c r="X478" s="180"/>
      <c r="Y478" s="147"/>
      <c r="Z478" s="127"/>
    </row>
    <row r="479" spans="1:26" x14ac:dyDescent="0.25">
      <c r="A479" s="133" t="s">
        <v>4</v>
      </c>
      <c r="B479" s="158">
        <f t="shared" ref="B479:I479" si="1330">+B300/B121</f>
        <v>3.4505417724888261</v>
      </c>
      <c r="C479" s="158">
        <f t="shared" si="1330"/>
        <v>10.142690725348617</v>
      </c>
      <c r="D479" s="158">
        <f t="shared" si="1330"/>
        <v>6.2044483980756082</v>
      </c>
      <c r="E479" s="158">
        <f t="shared" si="1330"/>
        <v>7.7158979700169317</v>
      </c>
      <c r="F479" s="158">
        <f t="shared" si="1330"/>
        <v>3.0695676126985076</v>
      </c>
      <c r="G479" s="158">
        <f t="shared" si="1330"/>
        <v>3.6299172716528791</v>
      </c>
      <c r="H479" s="158">
        <f t="shared" si="1330"/>
        <v>3.3802241071548078</v>
      </c>
      <c r="I479" s="158">
        <f t="shared" si="1330"/>
        <v>2.9348237677512157</v>
      </c>
      <c r="J479" s="180">
        <f t="shared" si="1326"/>
        <v>3.3365052548575997</v>
      </c>
      <c r="K479" s="180"/>
      <c r="L479" s="127"/>
      <c r="M479" s="2"/>
      <c r="N479" s="133" t="s">
        <v>4</v>
      </c>
      <c r="O479" s="158">
        <f t="shared" si="1320"/>
        <v>1.6851418618397189</v>
      </c>
      <c r="P479" s="158">
        <f t="shared" si="1320"/>
        <v>2.111859659518613</v>
      </c>
      <c r="Q479" s="158">
        <f t="shared" si="1320"/>
        <v>1.7005667050840561</v>
      </c>
      <c r="R479" s="158">
        <f t="shared" si="1320"/>
        <v>1.9632411208204097</v>
      </c>
      <c r="S479" s="158">
        <f t="shared" si="1320"/>
        <v>1.1610264677576998</v>
      </c>
      <c r="T479" s="158">
        <f t="shared" si="1320"/>
        <v>1.7471577475519464</v>
      </c>
      <c r="U479" s="158">
        <f t="shared" ref="U479:V479" si="1331">+U300/U121</f>
        <v>3.0802654527520343</v>
      </c>
      <c r="V479" s="158">
        <f t="shared" si="1331"/>
        <v>3.3371492438483426</v>
      </c>
      <c r="W479" s="180">
        <f t="shared" si="1327"/>
        <v>3.5488224626826277</v>
      </c>
      <c r="X479" s="180"/>
      <c r="Y479" s="147"/>
      <c r="Z479" s="127"/>
    </row>
    <row r="480" spans="1:26" x14ac:dyDescent="0.25">
      <c r="A480" s="133" t="s">
        <v>5</v>
      </c>
      <c r="B480" s="158">
        <f t="shared" ref="B480:J480" si="1332">+B301/B122</f>
        <v>3.3600662705591313</v>
      </c>
      <c r="C480" s="158">
        <f t="shared" si="1332"/>
        <v>8.7530790698497931</v>
      </c>
      <c r="D480" s="158">
        <f t="shared" si="1332"/>
        <v>4.1159243507178962</v>
      </c>
      <c r="E480" s="158">
        <f t="shared" si="1332"/>
        <v>2.2257658360123482</v>
      </c>
      <c r="F480" s="158">
        <f t="shared" si="1332"/>
        <v>2.9803225386288972</v>
      </c>
      <c r="G480" s="158">
        <f t="shared" si="1332"/>
        <v>3.2067305310471865</v>
      </c>
      <c r="H480" s="158">
        <f t="shared" si="1332"/>
        <v>3.0791947159130948</v>
      </c>
      <c r="I480" s="158">
        <f t="shared" si="1332"/>
        <v>3.6171077528620854</v>
      </c>
      <c r="J480" s="180">
        <f t="shared" si="1332"/>
        <v>3.1415161820343984</v>
      </c>
      <c r="K480" s="180"/>
      <c r="L480" s="127"/>
      <c r="M480" s="2"/>
      <c r="N480" s="133" t="s">
        <v>5</v>
      </c>
      <c r="O480" s="158">
        <f t="shared" si="1320"/>
        <v>1.8630314643331616</v>
      </c>
      <c r="P480" s="158">
        <f t="shared" si="1320"/>
        <v>2.0348877114885271</v>
      </c>
      <c r="Q480" s="158">
        <f t="shared" si="1320"/>
        <v>1.5296010954729515</v>
      </c>
      <c r="R480" s="158">
        <f t="shared" si="1320"/>
        <v>2.2216537287957103</v>
      </c>
      <c r="S480" s="158">
        <f t="shared" si="1320"/>
        <v>1.0468713507044141</v>
      </c>
      <c r="T480" s="158">
        <f t="shared" si="1320"/>
        <v>1.6729022525549948</v>
      </c>
      <c r="U480" s="158">
        <f t="shared" ref="U480:W484" si="1333">+U301/U122</f>
        <v>3.0743187157907603</v>
      </c>
      <c r="V480" s="158">
        <f t="shared" si="1333"/>
        <v>3.4031282873403894</v>
      </c>
      <c r="W480" s="180">
        <f t="shared" si="1327"/>
        <v>3.4876531164782847</v>
      </c>
      <c r="X480" s="180"/>
      <c r="Y480" s="147"/>
      <c r="Z480" s="127"/>
    </row>
    <row r="481" spans="1:26" x14ac:dyDescent="0.25">
      <c r="A481" s="133" t="s">
        <v>6</v>
      </c>
      <c r="B481" s="158">
        <f t="shared" ref="B481:H481" si="1334">+B302/B123</f>
        <v>3.4564515285002946</v>
      </c>
      <c r="C481" s="158">
        <f t="shared" si="1334"/>
        <v>2.7600036940776018</v>
      </c>
      <c r="D481" s="158">
        <f t="shared" si="1334"/>
        <v>13.610281534176705</v>
      </c>
      <c r="E481" s="158">
        <f t="shared" si="1334"/>
        <v>0.43875270156183255</v>
      </c>
      <c r="F481" s="158">
        <f t="shared" si="1334"/>
        <v>3.4446160698209938</v>
      </c>
      <c r="G481" s="158">
        <f t="shared" si="1334"/>
        <v>4.1508716606841336</v>
      </c>
      <c r="H481" s="158">
        <f t="shared" si="1334"/>
        <v>3.7089848938619534</v>
      </c>
      <c r="I481" s="158">
        <f>+I302/I123</f>
        <v>3.9824543686251093</v>
      </c>
      <c r="J481" s="180">
        <f t="shared" ref="J481:J484" si="1335">+J302/J123</f>
        <v>3.6149165867477282</v>
      </c>
      <c r="K481" s="180"/>
      <c r="L481" s="127"/>
      <c r="M481" s="2"/>
      <c r="N481" s="133" t="s">
        <v>6</v>
      </c>
      <c r="O481" s="158">
        <f t="shared" si="1320"/>
        <v>1.9987953264553393</v>
      </c>
      <c r="P481" s="158">
        <f t="shared" si="1320"/>
        <v>1.7328200513700625</v>
      </c>
      <c r="Q481" s="158">
        <f t="shared" si="1320"/>
        <v>1.9341361915077124</v>
      </c>
      <c r="R481" s="158">
        <f t="shared" si="1320"/>
        <v>1.7304203973850452</v>
      </c>
      <c r="S481" s="158">
        <f t="shared" si="1320"/>
        <v>1.0980556673728392</v>
      </c>
      <c r="T481" s="158">
        <f t="shared" si="1320"/>
        <v>1.8036523116031431</v>
      </c>
      <c r="U481" s="158">
        <f t="shared" ref="U481" si="1336">+U302/U123</f>
        <v>3.0819666255508031</v>
      </c>
      <c r="V481" s="158">
        <f t="shared" si="1333"/>
        <v>3.4024200710621821</v>
      </c>
      <c r="W481" s="180">
        <f t="shared" si="1327"/>
        <v>3.4661556293784299</v>
      </c>
      <c r="X481" s="180"/>
      <c r="Y481" s="147"/>
      <c r="Z481" s="127"/>
    </row>
    <row r="482" spans="1:26" x14ac:dyDescent="0.25">
      <c r="A482" s="133" t="s">
        <v>7</v>
      </c>
      <c r="B482" s="158">
        <f t="shared" ref="B482:I482" si="1337">+B303/B124</f>
        <v>3.7264747939680016</v>
      </c>
      <c r="C482" s="158">
        <f t="shared" si="1337"/>
        <v>3.4707551155912353</v>
      </c>
      <c r="D482" s="158">
        <f t="shared" si="1337"/>
        <v>5.5718701507667863</v>
      </c>
      <c r="E482" s="158">
        <f t="shared" si="1337"/>
        <v>0.3071998241432134</v>
      </c>
      <c r="F482" s="158">
        <f t="shared" si="1337"/>
        <v>1.8432496681675532</v>
      </c>
      <c r="G482" s="158">
        <f t="shared" si="1337"/>
        <v>1.7302622477431573</v>
      </c>
      <c r="H482" s="158">
        <f t="shared" si="1337"/>
        <v>4.5964246602810297</v>
      </c>
      <c r="I482" s="158">
        <f t="shared" si="1337"/>
        <v>4.1363504074505233</v>
      </c>
      <c r="J482" s="180">
        <f t="shared" si="1335"/>
        <v>4.1454594507655358</v>
      </c>
      <c r="K482" s="180"/>
      <c r="L482" s="127"/>
      <c r="M482" s="2"/>
      <c r="N482" s="133" t="s">
        <v>7</v>
      </c>
      <c r="O482" s="158">
        <f t="shared" si="1320"/>
        <v>1.8875743182479554</v>
      </c>
      <c r="P482" s="158">
        <f t="shared" si="1320"/>
        <v>1.785946024933623</v>
      </c>
      <c r="Q482" s="158">
        <f t="shared" si="1320"/>
        <v>1.9826280146921607</v>
      </c>
      <c r="R482" s="158">
        <f t="shared" si="1320"/>
        <v>1.63335427334268</v>
      </c>
      <c r="S482" s="158">
        <f t="shared" si="1320"/>
        <v>1.1526135962324588</v>
      </c>
      <c r="T482" s="158">
        <f t="shared" si="1320"/>
        <v>1.9364763581480531</v>
      </c>
      <c r="U482" s="158">
        <f t="shared" ref="U482" si="1338">+U303/U124</f>
        <v>3.3871982604693942</v>
      </c>
      <c r="V482" s="158">
        <f t="shared" si="1333"/>
        <v>3.3849024313677836</v>
      </c>
      <c r="W482" s="180">
        <f t="shared" si="1333"/>
        <v>3.4289280716625119</v>
      </c>
      <c r="X482" s="180"/>
      <c r="Y482" s="147"/>
      <c r="Z482" s="127"/>
    </row>
    <row r="483" spans="1:26" x14ac:dyDescent="0.25">
      <c r="A483" s="133" t="s">
        <v>8</v>
      </c>
      <c r="B483" s="158">
        <f t="shared" ref="B483:I483" si="1339">+B304/B125</f>
        <v>4.4294694555689187</v>
      </c>
      <c r="C483" s="158">
        <f t="shared" si="1339"/>
        <v>3.1700310741317637</v>
      </c>
      <c r="D483" s="158">
        <f t="shared" si="1339"/>
        <v>2.7840102829225568</v>
      </c>
      <c r="E483" s="158">
        <f t="shared" si="1339"/>
        <v>1.3055939150829661</v>
      </c>
      <c r="F483" s="158">
        <f t="shared" si="1339"/>
        <v>1.206993333831228</v>
      </c>
      <c r="G483" s="158">
        <f t="shared" si="1339"/>
        <v>3.7783419725660279</v>
      </c>
      <c r="H483" s="158">
        <f t="shared" si="1339"/>
        <v>4.8424739580488838</v>
      </c>
      <c r="I483" s="158">
        <f t="shared" si="1339"/>
        <v>4.2168864272901789</v>
      </c>
      <c r="J483" s="180">
        <f t="shared" si="1335"/>
        <v>4.7078533297919849</v>
      </c>
      <c r="K483" s="180"/>
      <c r="L483" s="127"/>
      <c r="M483" s="2"/>
      <c r="N483" s="133" t="s">
        <v>8</v>
      </c>
      <c r="O483" s="158">
        <f t="shared" ref="O483:S485" si="1340">+O304/O143</f>
        <v>1.9590936712086688</v>
      </c>
      <c r="P483" s="158">
        <f t="shared" si="1340"/>
        <v>1.8194615636266298</v>
      </c>
      <c r="Q483" s="158">
        <f t="shared" si="1340"/>
        <v>1.8565152034270171</v>
      </c>
      <c r="R483" s="158">
        <f t="shared" si="1340"/>
        <v>1.6887251771924103</v>
      </c>
      <c r="S483" s="158">
        <f t="shared" si="1340"/>
        <v>1.162444518605146</v>
      </c>
      <c r="T483" s="158">
        <f t="shared" ref="T483" si="1341">+T304/T143</f>
        <v>1.9721230448480418</v>
      </c>
      <c r="U483" s="158">
        <f t="shared" ref="U483" si="1342">+U304/U125</f>
        <v>3.407459932240434</v>
      </c>
      <c r="V483" s="158">
        <f t="shared" si="1333"/>
        <v>3.3469052380930888</v>
      </c>
      <c r="W483" s="180">
        <f t="shared" si="1333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343">+B305/B126</f>
        <v>4.5346894563880369</v>
      </c>
      <c r="C484" s="158">
        <f t="shared" si="1343"/>
        <v>2.5341492057605541</v>
      </c>
      <c r="D484" s="158">
        <f t="shared" si="1343"/>
        <v>1.5141056398423787</v>
      </c>
      <c r="E484" s="158">
        <f t="shared" si="1343"/>
        <v>0.52485267361985655</v>
      </c>
      <c r="F484" s="158">
        <f t="shared" si="1343"/>
        <v>1.0142928135407163</v>
      </c>
      <c r="G484" s="158">
        <f t="shared" si="1343"/>
        <v>3.4517158430840249</v>
      </c>
      <c r="H484" s="158">
        <f t="shared" si="1343"/>
        <v>3.3019484765267428</v>
      </c>
      <c r="I484" s="158">
        <f t="shared" si="1343"/>
        <v>3.5307808801511325</v>
      </c>
      <c r="J484" s="180">
        <f t="shared" si="1335"/>
        <v>3.6408895643002865</v>
      </c>
      <c r="K484" s="180"/>
      <c r="L484" s="127"/>
      <c r="M484" s="2"/>
      <c r="N484" s="133" t="s">
        <v>9</v>
      </c>
      <c r="O484" s="158">
        <f t="shared" si="1340"/>
        <v>1.9158586454068649</v>
      </c>
      <c r="P484" s="158">
        <f t="shared" si="1340"/>
        <v>1.795371609211736</v>
      </c>
      <c r="Q484" s="158">
        <f t="shared" si="1340"/>
        <v>1.8601217817804863</v>
      </c>
      <c r="R484" s="158">
        <f t="shared" si="1340"/>
        <v>1.7332036075627155</v>
      </c>
      <c r="S484" s="158">
        <f t="shared" si="1340"/>
        <v>1.1926364334898962</v>
      </c>
      <c r="T484" s="158">
        <f t="shared" ref="T484" si="1344">+T305/T144</f>
        <v>1.941190579602103</v>
      </c>
      <c r="U484" s="158">
        <f t="shared" ref="U484" si="1345">+U305/U126</f>
        <v>3.3982867651638848</v>
      </c>
      <c r="V484" s="158">
        <f t="shared" si="1333"/>
        <v>3.3638278595812885</v>
      </c>
      <c r="W484" s="180">
        <f t="shared" si="1333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346">+B306/B127</f>
        <v>3.6054687741755975</v>
      </c>
      <c r="C485" s="182">
        <f t="shared" si="1346"/>
        <v>4.1109430734251919</v>
      </c>
      <c r="D485" s="182">
        <f t="shared" si="1346"/>
        <v>4.3598788628434288</v>
      </c>
      <c r="E485" s="182">
        <f t="shared" si="1346"/>
        <v>1.4251359735898088</v>
      </c>
      <c r="F485" s="182">
        <f t="shared" si="1346"/>
        <v>1.8630203842980382</v>
      </c>
      <c r="G485" s="182">
        <f t="shared" si="1346"/>
        <v>2.565795364431624</v>
      </c>
      <c r="H485" s="182">
        <f t="shared" si="1346"/>
        <v>3.3982867651638848</v>
      </c>
      <c r="I485" s="182">
        <f t="shared" si="1346"/>
        <v>3.3638278595812885</v>
      </c>
      <c r="J485" s="183">
        <f t="shared" ref="J485" si="1347">+J306/J127</f>
        <v>3.4881211375079011</v>
      </c>
      <c r="K485" s="183"/>
      <c r="L485" s="137"/>
      <c r="M485" s="3"/>
      <c r="N485" s="134" t="s">
        <v>14</v>
      </c>
      <c r="O485" s="182">
        <f t="shared" si="1340"/>
        <v>2.079848423228245</v>
      </c>
      <c r="P485" s="182">
        <f t="shared" si="1340"/>
        <v>1.8773592428716741</v>
      </c>
      <c r="Q485" s="182">
        <f t="shared" si="1340"/>
        <v>1.773856342852832</v>
      </c>
      <c r="R485" s="182">
        <f t="shared" si="1340"/>
        <v>1.8627313239971006</v>
      </c>
      <c r="S485" s="182">
        <f t="shared" si="1340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3.4683225515271565</v>
      </c>
      <c r="Y485" s="149">
        <f>+X485/W485-1</f>
        <v>1.1743920915760153E-2</v>
      </c>
      <c r="Z485" s="156">
        <f>+POWER(X485/S485,0.2)-1</f>
        <v>0.21222417245787062</v>
      </c>
    </row>
    <row r="486" spans="1:26" ht="25.5" x14ac:dyDescent="0.25">
      <c r="A486" s="135" t="s">
        <v>15</v>
      </c>
      <c r="B486" s="138">
        <f t="shared" ref="B486:I486" si="1348">+B485/B$539</f>
        <v>1.1443644784934672</v>
      </c>
      <c r="C486" s="138">
        <f t="shared" si="1348"/>
        <v>1.1448390978879319</v>
      </c>
      <c r="D486" s="138">
        <f t="shared" si="1348"/>
        <v>1.451027334638243</v>
      </c>
      <c r="E486" s="138">
        <f t="shared" si="1348"/>
        <v>0.54574951918447223</v>
      </c>
      <c r="F486" s="138">
        <f t="shared" si="1348"/>
        <v>0.93334886525647176</v>
      </c>
      <c r="G486" s="138">
        <f t="shared" si="1348"/>
        <v>0.89700845144642816</v>
      </c>
      <c r="H486" s="138">
        <f t="shared" si="1348"/>
        <v>1.0649110919348921</v>
      </c>
      <c r="I486" s="138">
        <f t="shared" si="1348"/>
        <v>0.95400065822919877</v>
      </c>
      <c r="J486" s="139">
        <f t="shared" ref="J486" si="1349">+J485/J$539</f>
        <v>1.000157371536714</v>
      </c>
      <c r="K486" s="139"/>
      <c r="L486" s="140"/>
      <c r="M486" s="3"/>
      <c r="N486" s="135" t="s">
        <v>15</v>
      </c>
      <c r="O486" s="138">
        <f t="shared" ref="O486:T486" si="1350">+O485/O$539</f>
        <v>0.66908569141043017</v>
      </c>
      <c r="P486" s="138">
        <f t="shared" si="1350"/>
        <v>0.55715714421495</v>
      </c>
      <c r="Q486" s="138">
        <f t="shared" si="1350"/>
        <v>0.51600682343460125</v>
      </c>
      <c r="R486" s="138">
        <f t="shared" si="1350"/>
        <v>0.67548515050730462</v>
      </c>
      <c r="S486" s="138">
        <f t="shared" si="1350"/>
        <v>0.62780745839055563</v>
      </c>
      <c r="T486" s="138">
        <f t="shared" si="1350"/>
        <v>0.65722350480378999</v>
      </c>
      <c r="U486" s="138">
        <f t="shared" ref="U486:X486" si="1351">+U485/U$539</f>
        <v>0.85174231526041788</v>
      </c>
      <c r="V486" s="138">
        <f t="shared" si="1351"/>
        <v>1.53599754921055</v>
      </c>
      <c r="W486" s="139">
        <f t="shared" si="1351"/>
        <v>0.9773746499272854</v>
      </c>
      <c r="X486" s="139">
        <f t="shared" si="1351"/>
        <v>0.99268185203163695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352">+D485/C485-1</f>
        <v>6.0554423880850861E-2</v>
      </c>
      <c r="E487" s="142">
        <f t="shared" si="1352"/>
        <v>-0.67312486919410364</v>
      </c>
      <c r="F487" s="142">
        <f t="shared" si="1352"/>
        <v>0.30725798718365938</v>
      </c>
      <c r="G487" s="142">
        <f t="shared" si="1352"/>
        <v>0.3772234517972719</v>
      </c>
      <c r="H487" s="142">
        <f t="shared" si="1352"/>
        <v>0.32445744203637017</v>
      </c>
      <c r="I487" s="142">
        <f t="shared" ref="I487:J487" si="1353">+I485/H485-1</f>
        <v>-1.0140081742317175E-2</v>
      </c>
      <c r="J487" s="143">
        <f t="shared" si="1353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354">+Q485/P485-1</f>
        <v>-5.5132175907111169E-2</v>
      </c>
      <c r="R487" s="142">
        <f t="shared" si="1354"/>
        <v>5.010269377357468E-2</v>
      </c>
      <c r="S487" s="142">
        <f t="shared" si="1354"/>
        <v>-0.28869712718059692</v>
      </c>
      <c r="T487" s="142">
        <f t="shared" si="1354"/>
        <v>0.22648163020262668</v>
      </c>
      <c r="U487" s="142">
        <f t="shared" si="1354"/>
        <v>0.58516947793728735</v>
      </c>
      <c r="V487" s="142">
        <f t="shared" si="1354"/>
        <v>1.0242063284439697</v>
      </c>
      <c r="W487" s="143">
        <f t="shared" ref="W487" si="1355">+W485/V485-1</f>
        <v>-0.3425653830592067</v>
      </c>
      <c r="X487" s="143">
        <f t="shared" ref="X487" si="1356">+X485/W485-1</f>
        <v>1.1743920915760153E-2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47" t="s">
        <v>151</v>
      </c>
      <c r="B489" s="348"/>
      <c r="C489" s="348"/>
      <c r="D489" s="348"/>
      <c r="E489" s="348"/>
      <c r="F489" s="348"/>
      <c r="G489" s="348"/>
      <c r="H489" s="348"/>
      <c r="I489" s="348"/>
      <c r="J489" s="348"/>
      <c r="K489" s="348"/>
      <c r="L489" s="349"/>
      <c r="M489" s="2"/>
      <c r="N489" s="347" t="s">
        <v>152</v>
      </c>
      <c r="O489" s="348"/>
      <c r="P489" s="348"/>
      <c r="Q489" s="348"/>
      <c r="R489" s="348"/>
      <c r="S489" s="348"/>
      <c r="T489" s="348"/>
      <c r="U489" s="348"/>
      <c r="V489" s="348"/>
      <c r="W489" s="348"/>
      <c r="X489" s="348"/>
      <c r="Y489" s="348"/>
      <c r="Z489" s="349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357">+C490+1</f>
        <v>2018</v>
      </c>
      <c r="E490" s="129">
        <f t="shared" ref="E490" si="1358">+D490+1</f>
        <v>2019</v>
      </c>
      <c r="F490" s="129">
        <f t="shared" ref="F490" si="1359">+E490+1</f>
        <v>2020</v>
      </c>
      <c r="G490" s="129">
        <f t="shared" ref="G490" si="1360">+F490+1</f>
        <v>2021</v>
      </c>
      <c r="H490" s="129">
        <f t="shared" ref="H490" si="1361">+G490+1</f>
        <v>2022</v>
      </c>
      <c r="I490" s="129">
        <f t="shared" ref="I490" si="1362">+H490+1</f>
        <v>2023</v>
      </c>
      <c r="J490" s="130">
        <f t="shared" ref="J490:K490" si="1363">+I490+1</f>
        <v>2024</v>
      </c>
      <c r="K490" s="130">
        <f t="shared" si="1363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364">+P490+1</f>
        <v>2018</v>
      </c>
      <c r="R490" s="129">
        <f t="shared" ref="R490" si="1365">+Q490+1</f>
        <v>2019</v>
      </c>
      <c r="S490" s="129">
        <f t="shared" ref="S490" si="1366">+R490+1</f>
        <v>2020</v>
      </c>
      <c r="T490" s="129">
        <f t="shared" ref="T490" si="1367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368">+B312/B133</f>
        <v>0.9768497829596976</v>
      </c>
      <c r="C491" s="158">
        <f t="shared" si="1368"/>
        <v>1.5246568290586291</v>
      </c>
      <c r="D491" s="158">
        <f t="shared" si="1368"/>
        <v>1.6594646994068645</v>
      </c>
      <c r="E491" s="158">
        <f t="shared" si="1368"/>
        <v>1.076096293055826</v>
      </c>
      <c r="F491" s="158">
        <f t="shared" si="1368"/>
        <v>0.65826563299409835</v>
      </c>
      <c r="G491" s="158">
        <f t="shared" si="1368"/>
        <v>1.1960527630133171</v>
      </c>
      <c r="H491" s="158">
        <f t="shared" si="1368"/>
        <v>0.86308957089753024</v>
      </c>
      <c r="I491" s="158">
        <f t="shared" si="1368"/>
        <v>1.7513867323305992</v>
      </c>
      <c r="J491" s="180">
        <f t="shared" si="1368"/>
        <v>5.5388778487167567</v>
      </c>
      <c r="K491" s="180">
        <f t="shared" ref="K491:K493" si="1369">+K312/K133</f>
        <v>4.5808983276352802</v>
      </c>
      <c r="L491" s="127">
        <f>+K491/J491-1</f>
        <v>-0.17295552406945036</v>
      </c>
      <c r="M491" s="2"/>
      <c r="N491" s="133" t="s">
        <v>10</v>
      </c>
      <c r="O491" s="158">
        <f t="shared" ref="O491:U500" si="1370">+O312/O133</f>
        <v>1.4057808245475987</v>
      </c>
      <c r="P491" s="158">
        <f t="shared" si="1370"/>
        <v>1.1985393202615637</v>
      </c>
      <c r="Q491" s="158">
        <f t="shared" si="1370"/>
        <v>1.8210808542973258</v>
      </c>
      <c r="R491" s="158">
        <f t="shared" si="1370"/>
        <v>1.5844828018512316</v>
      </c>
      <c r="S491" s="158">
        <f t="shared" si="1370"/>
        <v>1.1472791919349696</v>
      </c>
      <c r="T491" s="158">
        <f t="shared" si="1370"/>
        <v>0.83977111112594893</v>
      </c>
      <c r="U491" s="158">
        <f t="shared" si="1370"/>
        <v>1.3191242537378667</v>
      </c>
      <c r="V491" s="158">
        <f t="shared" ref="V491:X493" si="1371">+V312/V133</f>
        <v>1.7720677940863769</v>
      </c>
      <c r="W491" s="180">
        <f t="shared" si="1371"/>
        <v>4.0505550170862472</v>
      </c>
      <c r="X491" s="180">
        <f t="shared" si="1371"/>
        <v>2.6369569968423661</v>
      </c>
      <c r="Y491" s="147">
        <f>+X491/W491-1</f>
        <v>-0.34898872235557188</v>
      </c>
      <c r="Z491" s="127">
        <f>+POWER(X491/S491,0.2)-1</f>
        <v>0.18110031708906038</v>
      </c>
    </row>
    <row r="492" spans="1:26" x14ac:dyDescent="0.25">
      <c r="A492" s="133" t="s">
        <v>11</v>
      </c>
      <c r="B492" s="158">
        <f t="shared" ref="B492:J492" si="1372">+B313/B134</f>
        <v>0.76103900193671303</v>
      </c>
      <c r="C492" s="158">
        <f t="shared" si="1372"/>
        <v>2.6906595675013878</v>
      </c>
      <c r="D492" s="158">
        <f t="shared" si="1372"/>
        <v>2.2138687356154878</v>
      </c>
      <c r="E492" s="158">
        <f t="shared" si="1372"/>
        <v>1.8023355055074151</v>
      </c>
      <c r="F492" s="158">
        <f t="shared" si="1372"/>
        <v>0.57315079107343281</v>
      </c>
      <c r="G492" s="158">
        <f t="shared" si="1372"/>
        <v>1.1262679686210249</v>
      </c>
      <c r="H492" s="158">
        <f t="shared" si="1372"/>
        <v>1.5959799635773859</v>
      </c>
      <c r="I492" s="158">
        <f t="shared" si="1372"/>
        <v>3.8773352132534367</v>
      </c>
      <c r="J492" s="180">
        <f t="shared" si="1372"/>
        <v>4.7843053402469655</v>
      </c>
      <c r="K492" s="180">
        <f t="shared" si="1369"/>
        <v>4.0234711632936468</v>
      </c>
      <c r="L492" s="127">
        <f>+K492/J492-1</f>
        <v>-0.15902709439403051</v>
      </c>
      <c r="M492" s="2"/>
      <c r="N492" s="133" t="s">
        <v>11</v>
      </c>
      <c r="O492" s="158">
        <f t="shared" si="1370"/>
        <v>1.3426284137765951</v>
      </c>
      <c r="P492" s="158">
        <f t="shared" si="1370"/>
        <v>1.2672083403117325</v>
      </c>
      <c r="Q492" s="158">
        <f t="shared" si="1370"/>
        <v>1.8021678517684692</v>
      </c>
      <c r="R492" s="158">
        <f t="shared" si="1370"/>
        <v>1.5700067818943477</v>
      </c>
      <c r="S492" s="158">
        <f t="shared" si="1370"/>
        <v>1.0859178874384132</v>
      </c>
      <c r="T492" s="158">
        <f t="shared" si="1370"/>
        <v>0.87116306134543231</v>
      </c>
      <c r="U492" s="158">
        <f t="shared" si="1370"/>
        <v>1.3426481331743276</v>
      </c>
      <c r="V492" s="158">
        <f t="shared" ref="V492:W502" si="1373">+V313/V134</f>
        <v>1.8141315465026828</v>
      </c>
      <c r="W492" s="180">
        <f t="shared" si="1373"/>
        <v>4.0737243610119105</v>
      </c>
      <c r="X492" s="180">
        <f t="shared" si="1371"/>
        <v>2.6750356678791021</v>
      </c>
      <c r="Y492" s="147">
        <f>+X492/W492-1</f>
        <v>-0.34334396959183933</v>
      </c>
      <c r="Z492" s="127">
        <f>+POWER(X492/S492,0.2)-1</f>
        <v>0.19758546957612388</v>
      </c>
    </row>
    <row r="493" spans="1:26" x14ac:dyDescent="0.25">
      <c r="A493" s="133" t="s">
        <v>0</v>
      </c>
      <c r="B493" s="158">
        <f t="shared" ref="B493:G500" si="1374">+B314/B135</f>
        <v>0.79567940001581894</v>
      </c>
      <c r="C493" s="158">
        <f t="shared" si="1374"/>
        <v>1.7568175681756817</v>
      </c>
      <c r="D493" s="158">
        <f t="shared" si="1374"/>
        <v>1.2737828178953987</v>
      </c>
      <c r="E493" s="158">
        <f t="shared" si="1374"/>
        <v>1.4691067110373506</v>
      </c>
      <c r="F493" s="158">
        <f t="shared" si="1374"/>
        <v>0.6575354961479063</v>
      </c>
      <c r="G493" s="158">
        <f t="shared" si="1374"/>
        <v>0.95063715892565037</v>
      </c>
      <c r="H493" s="158">
        <f t="shared" ref="H493:J493" si="1375">+H314/H135</f>
        <v>1.0946907498631637</v>
      </c>
      <c r="I493" s="158">
        <f t="shared" si="1375"/>
        <v>3.8612190306349912</v>
      </c>
      <c r="J493" s="180">
        <f t="shared" si="1375"/>
        <v>2.3632496500572633</v>
      </c>
      <c r="K493" s="180">
        <f t="shared" si="1369"/>
        <v>4.2119471511473243</v>
      </c>
      <c r="L493" s="127">
        <f>+K493/J493-1</f>
        <v>0.78226923721125519</v>
      </c>
      <c r="M493" s="2"/>
      <c r="N493" s="133" t="s">
        <v>0</v>
      </c>
      <c r="O493" s="158">
        <f t="shared" si="1370"/>
        <v>1.2208673259005665</v>
      </c>
      <c r="P493" s="158">
        <f t="shared" si="1370"/>
        <v>1.3322648572820341</v>
      </c>
      <c r="Q493" s="158">
        <f t="shared" si="1370"/>
        <v>1.733561871922251</v>
      </c>
      <c r="R493" s="158">
        <f t="shared" si="1370"/>
        <v>1.6114314917038104</v>
      </c>
      <c r="S493" s="158">
        <f t="shared" si="1370"/>
        <v>1.0416112569149401</v>
      </c>
      <c r="T493" s="158">
        <f t="shared" si="1370"/>
        <v>0.88944543984292301</v>
      </c>
      <c r="U493" s="158">
        <f t="shared" si="1370"/>
        <v>1.370496394504662</v>
      </c>
      <c r="V493" s="158">
        <f t="shared" si="1373"/>
        <v>1.9686728588546989</v>
      </c>
      <c r="W493" s="180">
        <f t="shared" si="1373"/>
        <v>3.9205176126822696</v>
      </c>
      <c r="X493" s="180">
        <f t="shared" si="1371"/>
        <v>2.7594862331903438</v>
      </c>
      <c r="Y493" s="147">
        <f>+X493/W493-1</f>
        <v>-0.2961423705217312</v>
      </c>
      <c r="Z493" s="127">
        <f>+POWER(X493/S493,0.2)-1</f>
        <v>0.21513495300020624</v>
      </c>
    </row>
    <row r="494" spans="1:26" x14ac:dyDescent="0.25">
      <c r="A494" s="133" t="s">
        <v>1</v>
      </c>
      <c r="B494" s="158">
        <f t="shared" si="1374"/>
        <v>0.90168987202968398</v>
      </c>
      <c r="C494" s="158">
        <f t="shared" si="1374"/>
        <v>1.2576497669979227</v>
      </c>
      <c r="D494" s="158">
        <f t="shared" si="1374"/>
        <v>1.6395176644806431</v>
      </c>
      <c r="E494" s="158">
        <f t="shared" si="1374"/>
        <v>0.88177341411021326</v>
      </c>
      <c r="F494" s="158">
        <f t="shared" si="1374"/>
        <v>0.39285758499878259</v>
      </c>
      <c r="G494" s="158">
        <f t="shared" si="1374"/>
        <v>1.4445948000182789</v>
      </c>
      <c r="H494" s="158">
        <f t="shared" ref="H494:J494" si="1376">+H315/H136</f>
        <v>1.6365634556574926</v>
      </c>
      <c r="I494" s="158">
        <f t="shared" si="1376"/>
        <v>6.1167911049829113</v>
      </c>
      <c r="J494" s="180">
        <f t="shared" si="1376"/>
        <v>1.6358363833144691</v>
      </c>
      <c r="K494" s="180"/>
      <c r="L494" s="127"/>
      <c r="M494" s="2"/>
      <c r="N494" s="133" t="s">
        <v>1</v>
      </c>
      <c r="O494" s="158">
        <f t="shared" si="1370"/>
        <v>1.1644518653611278</v>
      </c>
      <c r="P494" s="158">
        <f t="shared" si="1370"/>
        <v>1.3730984266593924</v>
      </c>
      <c r="Q494" s="158">
        <f t="shared" si="1370"/>
        <v>1.7639571417062756</v>
      </c>
      <c r="R494" s="158">
        <f t="shared" si="1370"/>
        <v>1.5196636717706442</v>
      </c>
      <c r="S494" s="158">
        <f t="shared" si="1370"/>
        <v>0.99570130233086962</v>
      </c>
      <c r="T494" s="158">
        <f t="shared" si="1370"/>
        <v>0.96690070210631907</v>
      </c>
      <c r="U494" s="158">
        <f t="shared" si="1370"/>
        <v>1.3789346409423933</v>
      </c>
      <c r="V494" s="158">
        <f t="shared" si="1373"/>
        <v>2.0773451465588169</v>
      </c>
      <c r="W494" s="180">
        <f t="shared" ref="W494" si="1377">+W315/W136</f>
        <v>3.3481951994136696</v>
      </c>
      <c r="X494" s="180"/>
      <c r="Y494" s="147"/>
      <c r="Z494" s="127"/>
    </row>
    <row r="495" spans="1:26" x14ac:dyDescent="0.25">
      <c r="A495" s="133" t="s">
        <v>2</v>
      </c>
      <c r="B495" s="158">
        <f t="shared" si="1374"/>
        <v>0.8477214097406609</v>
      </c>
      <c r="C495" s="158">
        <f t="shared" si="1374"/>
        <v>2.0263671464615478</v>
      </c>
      <c r="D495" s="158">
        <f t="shared" si="1374"/>
        <v>2.4188238694758479</v>
      </c>
      <c r="E495" s="158">
        <f t="shared" si="1374"/>
        <v>0.82228324169842715</v>
      </c>
      <c r="F495" s="158">
        <f t="shared" si="1374"/>
        <v>0.5555645585745419</v>
      </c>
      <c r="G495" s="158">
        <f t="shared" si="1374"/>
        <v>1.050977397455759</v>
      </c>
      <c r="H495" s="158">
        <f t="shared" ref="H495:J502" si="1378">+H316/H137</f>
        <v>2.3177347201830751</v>
      </c>
      <c r="I495" s="158">
        <f t="shared" si="1378"/>
        <v>6.3831449264041247</v>
      </c>
      <c r="J495" s="180">
        <f t="shared" si="1378"/>
        <v>2.9588093034075986</v>
      </c>
      <c r="K495" s="180"/>
      <c r="L495" s="127"/>
      <c r="M495" s="2"/>
      <c r="N495" s="133" t="s">
        <v>2</v>
      </c>
      <c r="O495" s="158">
        <f t="shared" si="1370"/>
        <v>1.1025857916421764</v>
      </c>
      <c r="P495" s="158">
        <f t="shared" si="1370"/>
        <v>1.5128898516987568</v>
      </c>
      <c r="Q495" s="158">
        <f t="shared" si="1370"/>
        <v>1.7651532304863551</v>
      </c>
      <c r="R495" s="158">
        <f t="shared" si="1370"/>
        <v>1.3956105485515684</v>
      </c>
      <c r="S495" s="158">
        <f t="shared" si="1370"/>
        <v>0.92402332028235834</v>
      </c>
      <c r="T495" s="158">
        <f t="shared" si="1370"/>
        <v>1.0580069163070596</v>
      </c>
      <c r="U495" s="158">
        <f t="shared" si="1370"/>
        <v>1.5234536217234584</v>
      </c>
      <c r="V495" s="158">
        <f t="shared" si="1373"/>
        <v>2.1137849397630459</v>
      </c>
      <c r="W495" s="180">
        <f t="shared" ref="W495:W499" si="1379">+W316/W137</f>
        <v>3.192509549281128</v>
      </c>
      <c r="X495" s="180"/>
      <c r="Y495" s="147"/>
      <c r="Z495" s="127"/>
    </row>
    <row r="496" spans="1:26" x14ac:dyDescent="0.25">
      <c r="A496" s="133" t="s">
        <v>3</v>
      </c>
      <c r="B496" s="158">
        <f t="shared" si="1374"/>
        <v>0.94137958396552845</v>
      </c>
      <c r="C496" s="158">
        <f t="shared" si="1374"/>
        <v>1.7981065831102829</v>
      </c>
      <c r="D496" s="158">
        <f t="shared" si="1374"/>
        <v>2.227197094010708</v>
      </c>
      <c r="E496" s="158">
        <f t="shared" si="1374"/>
        <v>1.1524837720115928</v>
      </c>
      <c r="F496" s="158">
        <f t="shared" si="1374"/>
        <v>0.62491264618549902</v>
      </c>
      <c r="G496" s="158">
        <f t="shared" si="1374"/>
        <v>1.143449844415841</v>
      </c>
      <c r="H496" s="158">
        <f t="shared" si="1378"/>
        <v>1.5500591152148402</v>
      </c>
      <c r="I496" s="158">
        <f t="shared" si="1378"/>
        <v>4.5148790983957898</v>
      </c>
      <c r="J496" s="180">
        <f t="shared" si="1378"/>
        <v>1.7245378110606617</v>
      </c>
      <c r="K496" s="180"/>
      <c r="L496" s="127"/>
      <c r="M496" s="2"/>
      <c r="N496" s="133" t="s">
        <v>3</v>
      </c>
      <c r="O496" s="158">
        <f t="shared" si="1370"/>
        <v>1.042480555417894</v>
      </c>
      <c r="P496" s="158">
        <f t="shared" si="1370"/>
        <v>1.6272893655910603</v>
      </c>
      <c r="Q496" s="158">
        <f t="shared" si="1370"/>
        <v>1.7902140727865488</v>
      </c>
      <c r="R496" s="158">
        <f t="shared" si="1370"/>
        <v>1.3247537852367359</v>
      </c>
      <c r="S496" s="158">
        <f t="shared" si="1370"/>
        <v>0.84997686149753204</v>
      </c>
      <c r="T496" s="158">
        <f t="shared" si="1370"/>
        <v>1.1668553451041768</v>
      </c>
      <c r="U496" s="158">
        <f t="shared" si="1370"/>
        <v>1.5638705094030088</v>
      </c>
      <c r="V496" s="158">
        <f t="shared" si="1373"/>
        <v>2.2687627325344857</v>
      </c>
      <c r="W496" s="180">
        <f t="shared" si="1379"/>
        <v>2.8105509060806062</v>
      </c>
      <c r="X496" s="180"/>
      <c r="Y496" s="147"/>
      <c r="Z496" s="127"/>
    </row>
    <row r="497" spans="1:26" x14ac:dyDescent="0.25">
      <c r="A497" s="133" t="s">
        <v>4</v>
      </c>
      <c r="B497" s="158">
        <f t="shared" si="1374"/>
        <v>1.0972295269378667</v>
      </c>
      <c r="C497" s="158">
        <f t="shared" si="1374"/>
        <v>1.5241227458267996</v>
      </c>
      <c r="D497" s="158">
        <f t="shared" si="1374"/>
        <v>1.7627953799340965</v>
      </c>
      <c r="E497" s="158">
        <f t="shared" si="1374"/>
        <v>1.2533917092131235</v>
      </c>
      <c r="F497" s="158">
        <f t="shared" si="1374"/>
        <v>1.1960423692997975</v>
      </c>
      <c r="G497" s="158">
        <f t="shared" si="1374"/>
        <v>0.87735146132745756</v>
      </c>
      <c r="H497" s="158">
        <f t="shared" si="1378"/>
        <v>1.5072845514670146</v>
      </c>
      <c r="I497" s="158">
        <f t="shared" si="1378"/>
        <v>4.9024524060953238</v>
      </c>
      <c r="J497" s="180">
        <f t="shared" si="1378"/>
        <v>3.5741166675777158</v>
      </c>
      <c r="K497" s="180"/>
      <c r="L497" s="127"/>
      <c r="M497" s="2"/>
      <c r="N497" s="133" t="s">
        <v>4</v>
      </c>
      <c r="O497" s="158">
        <f t="shared" si="1370"/>
        <v>1.0182729259931949</v>
      </c>
      <c r="P497" s="158">
        <f t="shared" si="1370"/>
        <v>1.6854397095073308</v>
      </c>
      <c r="Q497" s="158">
        <f t="shared" si="1370"/>
        <v>1.8276318905587841</v>
      </c>
      <c r="R497" s="158">
        <f t="shared" si="1370"/>
        <v>1.276339576514387</v>
      </c>
      <c r="S497" s="158">
        <f t="shared" si="1370"/>
        <v>0.84682890822309898</v>
      </c>
      <c r="T497" s="158">
        <f t="shared" si="1370"/>
        <v>1.1281655587560881</v>
      </c>
      <c r="U497" s="158">
        <f t="shared" si="1370"/>
        <v>1.6690563142149815</v>
      </c>
      <c r="V497" s="158">
        <f t="shared" si="1373"/>
        <v>2.7468583153146531</v>
      </c>
      <c r="W497" s="180">
        <f t="shared" si="1379"/>
        <v>2.7592937653826994</v>
      </c>
      <c r="X497" s="180"/>
      <c r="Y497" s="147"/>
      <c r="Z497" s="127"/>
    </row>
    <row r="498" spans="1:26" x14ac:dyDescent="0.25">
      <c r="A498" s="133" t="s">
        <v>5</v>
      </c>
      <c r="B498" s="158">
        <f t="shared" si="1374"/>
        <v>1.4646235886564596</v>
      </c>
      <c r="C498" s="158">
        <f t="shared" si="1374"/>
        <v>2.1346685992884438</v>
      </c>
      <c r="D498" s="158">
        <f t="shared" si="1374"/>
        <v>0.85029527589599085</v>
      </c>
      <c r="E498" s="158">
        <f t="shared" si="1374"/>
        <v>1.8704998496496958</v>
      </c>
      <c r="F498" s="158">
        <f t="shared" si="1374"/>
        <v>1.267864251636476</v>
      </c>
      <c r="G498" s="158">
        <f t="shared" si="1374"/>
        <v>2.0156519042606149</v>
      </c>
      <c r="H498" s="158">
        <f t="shared" si="1378"/>
        <v>2.4794327853479023</v>
      </c>
      <c r="I498" s="158">
        <f t="shared" si="1378"/>
        <v>2.9147488831731416</v>
      </c>
      <c r="J498" s="180">
        <f t="shared" ref="J498" si="1380">+J319/J140</f>
        <v>2.2633897590155612</v>
      </c>
      <c r="K498" s="180"/>
      <c r="L498" s="127"/>
      <c r="M498" s="2"/>
      <c r="N498" s="133" t="s">
        <v>5</v>
      </c>
      <c r="O498" s="158">
        <f t="shared" si="1370"/>
        <v>1.0529578432464968</v>
      </c>
      <c r="P498" s="158">
        <f t="shared" si="1370"/>
        <v>1.7381821252738769</v>
      </c>
      <c r="Q498" s="158">
        <f t="shared" si="1370"/>
        <v>1.7145665720023797</v>
      </c>
      <c r="R498" s="158">
        <f t="shared" si="1370"/>
        <v>1.3340723167190109</v>
      </c>
      <c r="S498" s="158">
        <f t="shared" si="1370"/>
        <v>0.84937214626206314</v>
      </c>
      <c r="T498" s="158">
        <f t="shared" si="1370"/>
        <v>1.16570705112068</v>
      </c>
      <c r="U498" s="158">
        <f t="shared" si="1370"/>
        <v>1.7008235985548836</v>
      </c>
      <c r="V498" s="158">
        <f t="shared" si="1373"/>
        <v>2.8084904303088716</v>
      </c>
      <c r="W498" s="180">
        <f t="shared" si="1379"/>
        <v>2.6445260442554974</v>
      </c>
      <c r="X498" s="180"/>
      <c r="Y498" s="147"/>
      <c r="Z498" s="127"/>
    </row>
    <row r="499" spans="1:26" x14ac:dyDescent="0.25">
      <c r="A499" s="133" t="s">
        <v>6</v>
      </c>
      <c r="B499" s="158">
        <f t="shared" si="1374"/>
        <v>1.3424655595061425</v>
      </c>
      <c r="C499" s="158">
        <f t="shared" si="1374"/>
        <v>2.1763899668092272</v>
      </c>
      <c r="D499" s="158">
        <f t="shared" si="1374"/>
        <v>1.4727934875749786</v>
      </c>
      <c r="E499" s="158">
        <f t="shared" si="1374"/>
        <v>0.87325710711264082</v>
      </c>
      <c r="F499" s="158">
        <f t="shared" si="1374"/>
        <v>0.96589457950589386</v>
      </c>
      <c r="G499" s="158">
        <f t="shared" si="1374"/>
        <v>2.919872880672377</v>
      </c>
      <c r="H499" s="158">
        <f t="shared" si="1378"/>
        <v>2.488077074909044</v>
      </c>
      <c r="I499" s="158">
        <f>+I320/I141</f>
        <v>4.3359663382053739</v>
      </c>
      <c r="J499" s="180">
        <f t="shared" ref="J499:J502" si="1381">+J320/J141</f>
        <v>2.700547006672668</v>
      </c>
      <c r="K499" s="180"/>
      <c r="L499" s="127"/>
      <c r="M499" s="2"/>
      <c r="N499" s="133" t="s">
        <v>6</v>
      </c>
      <c r="O499" s="158">
        <f t="shared" si="1370"/>
        <v>1.0349645075088201</v>
      </c>
      <c r="P499" s="158">
        <f t="shared" si="1370"/>
        <v>1.8190349138793367</v>
      </c>
      <c r="Q499" s="158">
        <f t="shared" si="1370"/>
        <v>1.6490438855456755</v>
      </c>
      <c r="R499" s="158">
        <f t="shared" si="1370"/>
        <v>1.2537902306359014</v>
      </c>
      <c r="S499" s="158">
        <f t="shared" si="1370"/>
        <v>0.85527104067071535</v>
      </c>
      <c r="T499" s="158">
        <f t="shared" si="1370"/>
        <v>1.2455625478962129</v>
      </c>
      <c r="U499" s="158">
        <f t="shared" si="1370"/>
        <v>1.6847656985677133</v>
      </c>
      <c r="V499" s="158">
        <f t="shared" si="1373"/>
        <v>2.9764629158874887</v>
      </c>
      <c r="W499" s="180">
        <f t="shared" si="1379"/>
        <v>2.537516362185027</v>
      </c>
      <c r="X499" s="180"/>
      <c r="Y499" s="147"/>
      <c r="Z499" s="127"/>
    </row>
    <row r="500" spans="1:26" x14ac:dyDescent="0.25">
      <c r="A500" s="133" t="s">
        <v>7</v>
      </c>
      <c r="B500" s="158">
        <f t="shared" si="1374"/>
        <v>1.2572386467540384</v>
      </c>
      <c r="C500" s="158">
        <f t="shared" si="1374"/>
        <v>1.6541394930909343</v>
      </c>
      <c r="D500" s="158">
        <f t="shared" si="1374"/>
        <v>1.6946734757924167</v>
      </c>
      <c r="E500" s="158">
        <f t="shared" si="1374"/>
        <v>1.0039478058897651</v>
      </c>
      <c r="F500" s="158">
        <f t="shared" si="1374"/>
        <v>1.3037528476706937</v>
      </c>
      <c r="G500" s="158">
        <f t="shared" si="1374"/>
        <v>3.0965371380737015</v>
      </c>
      <c r="H500" s="158">
        <f t="shared" si="1378"/>
        <v>3.8178280253208206</v>
      </c>
      <c r="I500" s="158">
        <f t="shared" si="1378"/>
        <v>4.0434328290400261</v>
      </c>
      <c r="J500" s="180">
        <f t="shared" si="1381"/>
        <v>5.4527729278085912</v>
      </c>
      <c r="K500" s="180"/>
      <c r="L500" s="127"/>
      <c r="M500" s="2"/>
      <c r="N500" s="133" t="s">
        <v>7</v>
      </c>
      <c r="O500" s="158">
        <f t="shared" si="1370"/>
        <v>1.0332156829434824</v>
      </c>
      <c r="P500" s="158">
        <f t="shared" si="1370"/>
        <v>1.8876995226861999</v>
      </c>
      <c r="Q500" s="158">
        <f t="shared" si="1370"/>
        <v>1.652912297211125</v>
      </c>
      <c r="R500" s="158">
        <f t="shared" si="1370"/>
        <v>1.1924148694696086</v>
      </c>
      <c r="S500" s="158">
        <f t="shared" si="1370"/>
        <v>0.87371950575235324</v>
      </c>
      <c r="T500" s="158">
        <f t="shared" si="1370"/>
        <v>1.3240913964716068</v>
      </c>
      <c r="U500" s="158">
        <f t="shared" si="1370"/>
        <v>1.6505687577055614</v>
      </c>
      <c r="V500" s="158">
        <f t="shared" si="1373"/>
        <v>2.9467827947167331</v>
      </c>
      <c r="W500" s="180">
        <f t="shared" si="1373"/>
        <v>2.6356573572375095</v>
      </c>
      <c r="X500" s="180"/>
      <c r="Y500" s="147"/>
      <c r="Z500" s="127"/>
    </row>
    <row r="501" spans="1:26" x14ac:dyDescent="0.25">
      <c r="A501" s="133" t="s">
        <v>8</v>
      </c>
      <c r="B501" s="158">
        <f t="shared" ref="B501:G503" si="1382">+B322/B143</f>
        <v>2.7020445862546709</v>
      </c>
      <c r="C501" s="158">
        <f t="shared" si="1382"/>
        <v>2.2411548313520719</v>
      </c>
      <c r="D501" s="158">
        <f t="shared" si="1382"/>
        <v>2.3142677171417296</v>
      </c>
      <c r="E501" s="158">
        <f t="shared" si="1382"/>
        <v>1.503181566584173</v>
      </c>
      <c r="F501" s="158">
        <f t="shared" si="1382"/>
        <v>1.8777140758038913</v>
      </c>
      <c r="G501" s="158">
        <f t="shared" si="1382"/>
        <v>1.4207632005616193</v>
      </c>
      <c r="H501" s="158">
        <f t="shared" si="1378"/>
        <v>3.667409233102664</v>
      </c>
      <c r="I501" s="158">
        <f t="shared" si="1378"/>
        <v>5.7927072528524697</v>
      </c>
      <c r="J501" s="180">
        <f t="shared" si="1381"/>
        <v>2.4287152986175395</v>
      </c>
      <c r="K501" s="180"/>
      <c r="L501" s="127"/>
      <c r="M501" s="2"/>
      <c r="N501" s="133" t="s">
        <v>8</v>
      </c>
      <c r="O501" s="158">
        <f t="shared" ref="O501:S503" si="1383">+O322/O143</f>
        <v>1.0980126622983617</v>
      </c>
      <c r="P501" s="158">
        <f t="shared" si="1383"/>
        <v>1.8662911487835399</v>
      </c>
      <c r="Q501" s="158">
        <f t="shared" si="1383"/>
        <v>1.6693086963199457</v>
      </c>
      <c r="R501" s="158">
        <f t="shared" si="1383"/>
        <v>1.1337069926083925</v>
      </c>
      <c r="S501" s="158">
        <f t="shared" si="1383"/>
        <v>0.86888051044639047</v>
      </c>
      <c r="T501" s="158">
        <f t="shared" ref="T501:U501" si="1384">+T322/T143</f>
        <v>1.3018893041424022</v>
      </c>
      <c r="U501" s="158">
        <f t="shared" si="1384"/>
        <v>1.7062271730305756</v>
      </c>
      <c r="V501" s="158">
        <f t="shared" si="1373"/>
        <v>3.017216322034578</v>
      </c>
      <c r="W501" s="180">
        <f t="shared" si="1373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382"/>
        <v>2.4819783396657602</v>
      </c>
      <c r="C502" s="158">
        <f t="shared" si="1382"/>
        <v>1.6771786558818802</v>
      </c>
      <c r="D502" s="158">
        <f t="shared" si="1382"/>
        <v>1.2118469067353115</v>
      </c>
      <c r="E502" s="158">
        <f t="shared" si="1382"/>
        <v>1.8979692474328351</v>
      </c>
      <c r="F502" s="158">
        <f t="shared" si="1382"/>
        <v>0.98138701687166574</v>
      </c>
      <c r="G502" s="158">
        <f t="shared" si="1382"/>
        <v>1.7311353489367203</v>
      </c>
      <c r="H502" s="158">
        <f t="shared" si="1378"/>
        <v>1.438518766933484</v>
      </c>
      <c r="I502" s="158">
        <f t="shared" si="1378"/>
        <v>2.6012080908409994</v>
      </c>
      <c r="J502" s="180">
        <f t="shared" si="1381"/>
        <v>4.7411641940020868</v>
      </c>
      <c r="K502" s="180"/>
      <c r="L502" s="127"/>
      <c r="M502" s="2"/>
      <c r="N502" s="133" t="s">
        <v>9</v>
      </c>
      <c r="O502" s="158">
        <f t="shared" si="1383"/>
        <v>1.1725501023702511</v>
      </c>
      <c r="P502" s="158">
        <f t="shared" si="1383"/>
        <v>1.8101185384988696</v>
      </c>
      <c r="Q502" s="158">
        <f t="shared" si="1383"/>
        <v>1.6321999502748596</v>
      </c>
      <c r="R502" s="158">
        <f t="shared" si="1383"/>
        <v>1.179211586880569</v>
      </c>
      <c r="S502" s="158">
        <f t="shared" si="1383"/>
        <v>0.82026783343020637</v>
      </c>
      <c r="T502" s="158">
        <f t="shared" ref="T502:U502" si="1385">+T323/T144</f>
        <v>1.3510381755596037</v>
      </c>
      <c r="U502" s="158">
        <f t="shared" si="1385"/>
        <v>1.6769297680458568</v>
      </c>
      <c r="V502" s="158">
        <f t="shared" si="1373"/>
        <v>3.4298293024611364</v>
      </c>
      <c r="W502" s="180">
        <f t="shared" si="1373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382"/>
        <v>1.1725501023702514</v>
      </c>
      <c r="C503" s="182">
        <f t="shared" si="1382"/>
        <v>1.8101185384988696</v>
      </c>
      <c r="D503" s="182">
        <f t="shared" si="1382"/>
        <v>1.6321999502748596</v>
      </c>
      <c r="E503" s="182">
        <f t="shared" si="1382"/>
        <v>1.179211586880569</v>
      </c>
      <c r="F503" s="182">
        <f t="shared" si="1382"/>
        <v>0.82026783343020637</v>
      </c>
      <c r="G503" s="182">
        <f t="shared" ref="G503:I503" si="1386">+G324/G145</f>
        <v>1.3510381755596037</v>
      </c>
      <c r="H503" s="182">
        <f t="shared" si="1386"/>
        <v>1.6769297680458568</v>
      </c>
      <c r="I503" s="182">
        <f t="shared" si="1386"/>
        <v>3.4298293024611364</v>
      </c>
      <c r="J503" s="183">
        <f t="shared" ref="J503" si="1387">+J324/J145</f>
        <v>2.6152309284893951</v>
      </c>
      <c r="K503" s="183"/>
      <c r="L503" s="137"/>
      <c r="M503" s="3"/>
      <c r="N503" s="134" t="s">
        <v>14</v>
      </c>
      <c r="O503" s="182">
        <f t="shared" si="1383"/>
        <v>1.1209224262410102</v>
      </c>
      <c r="P503" s="182">
        <f t="shared" si="1383"/>
        <v>1.5707662260095459</v>
      </c>
      <c r="Q503" s="182">
        <f t="shared" si="1383"/>
        <v>1.7349272486322667</v>
      </c>
      <c r="R503" s="182">
        <f t="shared" si="1383"/>
        <v>1.3582142592833224</v>
      </c>
      <c r="S503" s="182">
        <f t="shared" si="138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2.6909832596589287</v>
      </c>
      <c r="Y503" s="149">
        <f>+X503/W503-1</f>
        <v>-8.5607657450609942E-2</v>
      </c>
      <c r="Z503" s="156">
        <f>+POWER(X503/S503,0.2)-1</f>
        <v>0.23985842549284753</v>
      </c>
    </row>
    <row r="504" spans="1:26" ht="25.5" x14ac:dyDescent="0.25">
      <c r="A504" s="135" t="s">
        <v>15</v>
      </c>
      <c r="B504" s="138">
        <f t="shared" ref="B504:I504" si="1388">+B503/B$539</f>
        <v>0.37216372417847576</v>
      </c>
      <c r="C504" s="138">
        <f t="shared" si="1388"/>
        <v>0.50409223325942454</v>
      </c>
      <c r="D504" s="138">
        <f t="shared" si="1388"/>
        <v>0.54321847417095415</v>
      </c>
      <c r="E504" s="138">
        <f t="shared" si="1388"/>
        <v>0.45157386276325984</v>
      </c>
      <c r="F504" s="138">
        <f t="shared" si="1388"/>
        <v>0.41094346470445858</v>
      </c>
      <c r="G504" s="138">
        <f t="shared" si="1388"/>
        <v>0.47232631195129882</v>
      </c>
      <c r="H504" s="138">
        <f t="shared" si="1388"/>
        <v>0.52549453115435307</v>
      </c>
      <c r="I504" s="138">
        <f t="shared" si="1388"/>
        <v>0.97271904174341617</v>
      </c>
      <c r="J504" s="139">
        <f t="shared" ref="J504" si="1389">+J503/J$539</f>
        <v>0.74987146038976948</v>
      </c>
      <c r="K504" s="139"/>
      <c r="L504" s="140"/>
      <c r="M504" s="3"/>
      <c r="N504" s="135" t="s">
        <v>15</v>
      </c>
      <c r="O504" s="138">
        <f t="shared" ref="O504:T504" si="1390">+O503/O$539</f>
        <v>0.36059991112949397</v>
      </c>
      <c r="P504" s="138">
        <f t="shared" si="1390"/>
        <v>0.46616737208702397</v>
      </c>
      <c r="Q504" s="138">
        <f t="shared" si="1390"/>
        <v>0.50468252520217849</v>
      </c>
      <c r="R504" s="138">
        <f t="shared" si="1390"/>
        <v>0.49253134444771396</v>
      </c>
      <c r="S504" s="138">
        <f t="shared" si="1390"/>
        <v>0.43518327705318988</v>
      </c>
      <c r="T504" s="138">
        <f t="shared" si="1390"/>
        <v>0.44209251924429688</v>
      </c>
      <c r="U504" s="138">
        <f t="shared" ref="U504:X504" si="1391">+U503/U$539</f>
        <v>0.50639997899666045</v>
      </c>
      <c r="V504" s="138">
        <f t="shared" si="1391"/>
        <v>0.67567379984763076</v>
      </c>
      <c r="W504" s="139">
        <f t="shared" si="1391"/>
        <v>0.83905534833212514</v>
      </c>
      <c r="X504" s="139">
        <f t="shared" si="1391"/>
        <v>0.77019660262225209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392">+D503/C503-1</f>
        <v>-9.8291125382074518E-2</v>
      </c>
      <c r="E505" s="142">
        <f t="shared" ref="E505" si="1393">+E503/D503-1</f>
        <v>-0.27753239627167503</v>
      </c>
      <c r="F505" s="142">
        <f t="shared" ref="F505:H505" si="1394">+F503/E503-1</f>
        <v>-0.30439300075052311</v>
      </c>
      <c r="G505" s="142">
        <f t="shared" si="1394"/>
        <v>0.64706955520834608</v>
      </c>
      <c r="H505" s="142">
        <f t="shared" si="1394"/>
        <v>0.24121568019443118</v>
      </c>
      <c r="I505" s="142">
        <f t="shared" ref="I505:J505" si="1395">+I503/H503-1</f>
        <v>1.0453028909242579</v>
      </c>
      <c r="J505" s="143">
        <f t="shared" si="139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396">+Q503/P503-1</f>
        <v>0.10451015555622423</v>
      </c>
      <c r="R505" s="142">
        <f t="shared" ref="R505" si="1397">+R503/Q503-1</f>
        <v>-0.21713474708863245</v>
      </c>
      <c r="S505" s="142">
        <f t="shared" ref="S505" si="1398">+S503/R503-1</f>
        <v>-0.32378901387802483</v>
      </c>
      <c r="T505" s="142">
        <f t="shared" ref="T505:V505" si="1399">+T503/S503-1</f>
        <v>0.19018754072314059</v>
      </c>
      <c r="U505" s="142">
        <f t="shared" si="1399"/>
        <v>0.40107401175913271</v>
      </c>
      <c r="V505" s="142">
        <f t="shared" si="1399"/>
        <v>0.49766913396725232</v>
      </c>
      <c r="W505" s="143">
        <f t="shared" ref="W505" si="1400">+W503/V503-1</f>
        <v>0.28302627760989552</v>
      </c>
      <c r="X505" s="143">
        <f t="shared" ref="X505" si="1401">+X503/W503-1</f>
        <v>-8.5607657450609942E-2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47" t="s">
        <v>153</v>
      </c>
      <c r="B507" s="348"/>
      <c r="C507" s="348"/>
      <c r="D507" s="348"/>
      <c r="E507" s="348"/>
      <c r="F507" s="348"/>
      <c r="G507" s="348"/>
      <c r="H507" s="348"/>
      <c r="I507" s="348"/>
      <c r="J507" s="348"/>
      <c r="K507" s="348"/>
      <c r="L507" s="349"/>
      <c r="M507" s="2"/>
      <c r="N507" s="347" t="s">
        <v>154</v>
      </c>
      <c r="O507" s="348"/>
      <c r="P507" s="348"/>
      <c r="Q507" s="348"/>
      <c r="R507" s="348"/>
      <c r="S507" s="348"/>
      <c r="T507" s="348"/>
      <c r="U507" s="348"/>
      <c r="V507" s="348"/>
      <c r="W507" s="348"/>
      <c r="X507" s="348"/>
      <c r="Y507" s="348"/>
      <c r="Z507" s="349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402">+C508+1</f>
        <v>2018</v>
      </c>
      <c r="E508" s="129">
        <f t="shared" ref="E508" si="1403">+D508+1</f>
        <v>2019</v>
      </c>
      <c r="F508" s="129">
        <f t="shared" ref="F508" si="1404">+E508+1</f>
        <v>2020</v>
      </c>
      <c r="G508" s="129">
        <f t="shared" ref="G508" si="1405">+F508+1</f>
        <v>2021</v>
      </c>
      <c r="H508" s="129">
        <f t="shared" ref="H508" si="1406">+G508+1</f>
        <v>2022</v>
      </c>
      <c r="I508" s="129">
        <f t="shared" ref="I508" si="1407">+H508+1</f>
        <v>2023</v>
      </c>
      <c r="J508" s="130">
        <f t="shared" ref="J508:K508" si="1408">+I508+1</f>
        <v>2024</v>
      </c>
      <c r="K508" s="130">
        <f t="shared" si="140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409">+P508+1</f>
        <v>2018</v>
      </c>
      <c r="R508" s="129">
        <f t="shared" ref="R508" si="1410">+Q508+1</f>
        <v>2019</v>
      </c>
      <c r="S508" s="129">
        <f t="shared" ref="S508" si="1411">+R508+1</f>
        <v>2020</v>
      </c>
      <c r="T508" s="129">
        <f t="shared" ref="T508" si="141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413">+B330/B151</f>
        <v>3.4306071734875641</v>
      </c>
      <c r="C509" s="158">
        <f t="shared" si="1413"/>
        <v>4.6875</v>
      </c>
      <c r="D509" s="158">
        <f t="shared" si="1413"/>
        <v>5.2386688918115398</v>
      </c>
      <c r="E509" s="158">
        <f t="shared" si="1413"/>
        <v>4.846927273547049</v>
      </c>
      <c r="F509" s="158">
        <f t="shared" si="1413"/>
        <v>5.4043180174743242</v>
      </c>
      <c r="G509" s="158">
        <f t="shared" si="1413"/>
        <v>5.375515103141562</v>
      </c>
      <c r="H509" s="158">
        <f t="shared" ref="H509:J509" si="1414">+H330/H151</f>
        <v>5.8688625241526262</v>
      </c>
      <c r="I509" s="158">
        <f t="shared" si="1414"/>
        <v>4.8892432430152164</v>
      </c>
      <c r="J509" s="180">
        <f t="shared" si="1414"/>
        <v>6.1613043007258153</v>
      </c>
      <c r="K509" s="180">
        <f t="shared" ref="K509:K511" si="1415">+K330/K151</f>
        <v>6.3618290258449299</v>
      </c>
      <c r="L509" s="127">
        <f>+K509/J509-1</f>
        <v>3.2545823957354614E-2</v>
      </c>
      <c r="M509" s="2"/>
      <c r="N509" s="133" t="s">
        <v>10</v>
      </c>
      <c r="O509" s="158">
        <f t="shared" ref="O509:U518" si="1416">+O330/O151</f>
        <v>4.6311272352047563</v>
      </c>
      <c r="P509" s="158">
        <f t="shared" si="1416"/>
        <v>4.6658649759649613</v>
      </c>
      <c r="Q509" s="158">
        <f t="shared" si="1416"/>
        <v>4.9443543228544291</v>
      </c>
      <c r="R509" s="158">
        <f t="shared" si="1416"/>
        <v>5.1887955092986457</v>
      </c>
      <c r="S509" s="158">
        <f t="shared" si="1416"/>
        <v>5.2599956237223262</v>
      </c>
      <c r="T509" s="158">
        <f t="shared" si="1416"/>
        <v>4.6569762094113845</v>
      </c>
      <c r="U509" s="158">
        <f t="shared" si="1416"/>
        <v>5.3056667405452691</v>
      </c>
      <c r="V509" s="158">
        <f t="shared" ref="V509:X511" si="1417">+V330/V151</f>
        <v>5.1937071320712098</v>
      </c>
      <c r="W509" s="180">
        <f t="shared" si="1417"/>
        <v>5.0363999138420281</v>
      </c>
      <c r="X509" s="180">
        <f t="shared" si="1417"/>
        <v>5.4350775798357862</v>
      </c>
      <c r="Y509" s="147">
        <f>+X509/W509-1</f>
        <v>7.915925518504463E-2</v>
      </c>
      <c r="Z509" s="127">
        <f>+POWER(X509/S509,0.2)-1</f>
        <v>6.5702097176694174E-3</v>
      </c>
    </row>
    <row r="510" spans="1:26" x14ac:dyDescent="0.25">
      <c r="A510" s="133" t="s">
        <v>11</v>
      </c>
      <c r="B510" s="158">
        <f t="shared" si="1413"/>
        <v>4.6031299629433562</v>
      </c>
      <c r="C510" s="158">
        <f t="shared" si="1413"/>
        <v>4.8951463302355052</v>
      </c>
      <c r="D510" s="158">
        <f t="shared" si="1413"/>
        <v>4.4456545149400819</v>
      </c>
      <c r="E510" s="158">
        <f t="shared" si="1413"/>
        <v>5.0794318042492081</v>
      </c>
      <c r="F510" s="158">
        <f t="shared" si="1413"/>
        <v>5.0956889313529636</v>
      </c>
      <c r="G510" s="158">
        <f t="shared" si="1413"/>
        <v>5.4318157004039733</v>
      </c>
      <c r="H510" s="158">
        <f t="shared" ref="H510:J510" si="1418">+H331/H152</f>
        <v>4.6285996991742229</v>
      </c>
      <c r="I510" s="158">
        <f t="shared" si="1418"/>
        <v>5.009763736298015</v>
      </c>
      <c r="J510" s="180">
        <f t="shared" si="1418"/>
        <v>5.5125368731563418</v>
      </c>
      <c r="K510" s="180">
        <f t="shared" si="1415"/>
        <v>4.5732260601294534</v>
      </c>
      <c r="L510" s="127">
        <f>+K510/J510-1</f>
        <v>-0.17039537959390783</v>
      </c>
      <c r="M510" s="2"/>
      <c r="N510" s="133" t="s">
        <v>11</v>
      </c>
      <c r="O510" s="158">
        <f t="shared" si="1416"/>
        <v>4.5825903854106214</v>
      </c>
      <c r="P510" s="158">
        <f t="shared" si="1416"/>
        <v>4.6865459773945313</v>
      </c>
      <c r="Q510" s="158">
        <f t="shared" si="1416"/>
        <v>4.9111330096049954</v>
      </c>
      <c r="R510" s="158">
        <f t="shared" si="1416"/>
        <v>5.2422713881317007</v>
      </c>
      <c r="S510" s="158">
        <f t="shared" si="1416"/>
        <v>5.2610233602647147</v>
      </c>
      <c r="T510" s="158">
        <f t="shared" si="1416"/>
        <v>4.6921416575305575</v>
      </c>
      <c r="U510" s="158">
        <f t="shared" si="1416"/>
        <v>5.2208111525786816</v>
      </c>
      <c r="V510" s="158">
        <f t="shared" ref="V510:W520" si="1419">+V331/V152</f>
        <v>5.2618903749417916</v>
      </c>
      <c r="W510" s="180">
        <f t="shared" si="1419"/>
        <v>5.0737421623542671</v>
      </c>
      <c r="X510" s="180">
        <f t="shared" si="1417"/>
        <v>5.390750073491005</v>
      </c>
      <c r="Y510" s="147">
        <f>+X510/W510-1</f>
        <v>6.2480098710739895E-2</v>
      </c>
      <c r="Z510" s="127">
        <f>+POWER(X510/S510,0.2)-1</f>
        <v>4.8836809721215513E-3</v>
      </c>
    </row>
    <row r="511" spans="1:26" x14ac:dyDescent="0.25">
      <c r="A511" s="133" t="s">
        <v>0</v>
      </c>
      <c r="B511" s="158">
        <f t="shared" si="1413"/>
        <v>5.2947533807409028</v>
      </c>
      <c r="C511" s="158">
        <f t="shared" si="1413"/>
        <v>5.1929630052337243</v>
      </c>
      <c r="D511" s="158">
        <f t="shared" si="1413"/>
        <v>6.5406914689231765</v>
      </c>
      <c r="E511" s="158">
        <f t="shared" si="1413"/>
        <v>5.8125672601671594</v>
      </c>
      <c r="F511" s="158">
        <f t="shared" si="1413"/>
        <v>4.6643561290838091</v>
      </c>
      <c r="G511" s="158">
        <f t="shared" si="1413"/>
        <v>4.7903587726596575</v>
      </c>
      <c r="H511" s="158">
        <f t="shared" ref="H511:J511" si="1420">+H332/H153</f>
        <v>4.1586082282331365</v>
      </c>
      <c r="I511" s="158">
        <f t="shared" si="1420"/>
        <v>4.7172781208378742</v>
      </c>
      <c r="J511" s="180">
        <f t="shared" si="1420"/>
        <v>5.8858096952624361</v>
      </c>
      <c r="K511" s="180">
        <f t="shared" si="1415"/>
        <v>6.5272788677043989</v>
      </c>
      <c r="L511" s="127">
        <f>+K511/J511-1</f>
        <v>0.10898571405702939</v>
      </c>
      <c r="M511" s="2"/>
      <c r="N511" s="133" t="s">
        <v>0</v>
      </c>
      <c r="O511" s="158">
        <f t="shared" si="1416"/>
        <v>4.7239843014353067</v>
      </c>
      <c r="P511" s="158">
        <f t="shared" si="1416"/>
        <v>4.6820051055987406</v>
      </c>
      <c r="Q511" s="158">
        <f t="shared" si="1416"/>
        <v>5.0509765927370101</v>
      </c>
      <c r="R511" s="158">
        <f t="shared" si="1416"/>
        <v>5.1143053332511972</v>
      </c>
      <c r="S511" s="158">
        <f t="shared" si="1416"/>
        <v>5.2011662672158891</v>
      </c>
      <c r="T511" s="158">
        <f t="shared" si="1416"/>
        <v>4.7001282309793702</v>
      </c>
      <c r="U511" s="158">
        <f t="shared" si="1416"/>
        <v>5.2088420093108052</v>
      </c>
      <c r="V511" s="158">
        <f t="shared" si="1419"/>
        <v>5.2660842416074827</v>
      </c>
      <c r="W511" s="180">
        <f t="shared" si="1419"/>
        <v>5.1506187537263504</v>
      </c>
      <c r="X511" s="180">
        <f t="shared" si="1417"/>
        <v>5.4585534114418008</v>
      </c>
      <c r="Y511" s="147">
        <f>+X511/W511-1</f>
        <v>5.9785954356001758E-2</v>
      </c>
      <c r="Z511" s="127">
        <f>+POWER(X511/S511,0.2)-1</f>
        <v>9.7069960247839759E-3</v>
      </c>
    </row>
    <row r="512" spans="1:26" x14ac:dyDescent="0.25">
      <c r="A512" s="133" t="s">
        <v>1</v>
      </c>
      <c r="B512" s="158">
        <f t="shared" si="1413"/>
        <v>4.254595959891935</v>
      </c>
      <c r="C512" s="158">
        <f t="shared" si="1413"/>
        <v>4.3898968750180742</v>
      </c>
      <c r="D512" s="158">
        <f t="shared" si="1413"/>
        <v>5.3737650311807732</v>
      </c>
      <c r="E512" s="158">
        <f t="shared" si="1413"/>
        <v>4.5728538765329452</v>
      </c>
      <c r="F512" s="158">
        <f t="shared" si="1413"/>
        <v>2.3542910819334915</v>
      </c>
      <c r="G512" s="158">
        <f t="shared" si="1413"/>
        <v>5.4072087723936493</v>
      </c>
      <c r="H512" s="158">
        <f t="shared" ref="H512:J512" si="1421">+H333/H154</f>
        <v>6.0053707523166509</v>
      </c>
      <c r="I512" s="158">
        <f t="shared" si="1421"/>
        <v>4.5311553002972671</v>
      </c>
      <c r="J512" s="180">
        <f t="shared" si="1421"/>
        <v>5.3287847756120943</v>
      </c>
      <c r="K512" s="180"/>
      <c r="L512" s="127"/>
      <c r="M512" s="2"/>
      <c r="N512" s="133" t="s">
        <v>1</v>
      </c>
      <c r="O512" s="158">
        <f t="shared" si="1416"/>
        <v>4.7411439573913707</v>
      </c>
      <c r="P512" s="158">
        <f t="shared" si="1416"/>
        <v>4.6959874166863571</v>
      </c>
      <c r="Q512" s="158">
        <f t="shared" si="1416"/>
        <v>5.1413495196666323</v>
      </c>
      <c r="R512" s="158">
        <f t="shared" si="1416"/>
        <v>5.0638759517884937</v>
      </c>
      <c r="S512" s="158">
        <f t="shared" si="1416"/>
        <v>4.8741124927841391</v>
      </c>
      <c r="T512" s="158">
        <f t="shared" si="1416"/>
        <v>5.0455757232969018</v>
      </c>
      <c r="U512" s="158">
        <f t="shared" si="1416"/>
        <v>5.248058693220945</v>
      </c>
      <c r="V512" s="158">
        <f t="shared" si="1419"/>
        <v>5.1802525876981251</v>
      </c>
      <c r="W512" s="180">
        <f t="shared" ref="W512" si="1422">+W333/W154</f>
        <v>5.1834209386182293</v>
      </c>
      <c r="X512" s="180"/>
      <c r="Y512" s="147"/>
      <c r="Z512" s="127"/>
    </row>
    <row r="513" spans="1:26" x14ac:dyDescent="0.25">
      <c r="A513" s="133" t="s">
        <v>2</v>
      </c>
      <c r="B513" s="158">
        <f t="shared" si="1413"/>
        <v>4.3655012821314649</v>
      </c>
      <c r="C513" s="158">
        <f t="shared" si="1413"/>
        <v>5.7443726006392657</v>
      </c>
      <c r="D513" s="158">
        <f t="shared" si="1413"/>
        <v>5.727560874642414</v>
      </c>
      <c r="E513" s="158">
        <f t="shared" si="1413"/>
        <v>4.7586185976673283</v>
      </c>
      <c r="F513" s="158">
        <f t="shared" si="1413"/>
        <v>4.1216241894081511</v>
      </c>
      <c r="G513" s="158">
        <f t="shared" si="1413"/>
        <v>3.9817136115617169</v>
      </c>
      <c r="H513" s="158">
        <f t="shared" ref="H513:J520" si="1423">+H334/H155</f>
        <v>4.2722832224444538</v>
      </c>
      <c r="I513" s="158">
        <f t="shared" si="1423"/>
        <v>4.9948150708606978</v>
      </c>
      <c r="J513" s="180">
        <f t="shared" si="1423"/>
        <v>5.1735808915965578</v>
      </c>
      <c r="K513" s="180"/>
      <c r="L513" s="127"/>
      <c r="M513" s="2"/>
      <c r="N513" s="133" t="s">
        <v>2</v>
      </c>
      <c r="O513" s="158">
        <f t="shared" si="1416"/>
        <v>4.6995861571648367</v>
      </c>
      <c r="P513" s="158">
        <f t="shared" si="1416"/>
        <v>4.780306801788142</v>
      </c>
      <c r="Q513" s="158">
        <f t="shared" si="1416"/>
        <v>5.1375425924946549</v>
      </c>
      <c r="R513" s="158">
        <f t="shared" si="1416"/>
        <v>5.0005526217183025</v>
      </c>
      <c r="S513" s="158">
        <f t="shared" si="1416"/>
        <v>4.8023877177709018</v>
      </c>
      <c r="T513" s="158">
        <f t="shared" si="1416"/>
        <v>4.9899353667012845</v>
      </c>
      <c r="U513" s="158">
        <f t="shared" si="1416"/>
        <v>5.3621237864762712</v>
      </c>
      <c r="V513" s="158">
        <f t="shared" si="1419"/>
        <v>5.2717081245091189</v>
      </c>
      <c r="W513" s="180">
        <f t="shared" ref="W513:W517" si="1424">+W334/W155</f>
        <v>5.1930148118264077</v>
      </c>
      <c r="X513" s="180"/>
      <c r="Y513" s="147"/>
      <c r="Z513" s="127"/>
    </row>
    <row r="514" spans="1:26" x14ac:dyDescent="0.25">
      <c r="A514" s="133" t="s">
        <v>3</v>
      </c>
      <c r="B514" s="158">
        <f t="shared" si="1413"/>
        <v>5.7957264252124414</v>
      </c>
      <c r="C514" s="158">
        <f t="shared" si="1413"/>
        <v>4.5695298773274144</v>
      </c>
      <c r="D514" s="158">
        <f t="shared" si="1413"/>
        <v>5.1775018004883275</v>
      </c>
      <c r="E514" s="158">
        <f t="shared" si="1413"/>
        <v>5.8548086921390583</v>
      </c>
      <c r="F514" s="158">
        <f t="shared" si="1413"/>
        <v>4.6747244934233914</v>
      </c>
      <c r="G514" s="158">
        <f t="shared" si="1413"/>
        <v>5.874614248826127</v>
      </c>
      <c r="H514" s="158">
        <f t="shared" si="1423"/>
        <v>5.9806076027450077</v>
      </c>
      <c r="I514" s="158">
        <f t="shared" si="1423"/>
        <v>8.191949434464405</v>
      </c>
      <c r="J514" s="180">
        <f t="shared" si="1423"/>
        <v>4.462937231921706</v>
      </c>
      <c r="K514" s="180"/>
      <c r="L514" s="127"/>
      <c r="M514" s="2"/>
      <c r="N514" s="133" t="s">
        <v>3</v>
      </c>
      <c r="O514" s="158">
        <f t="shared" si="1416"/>
        <v>4.8306386780972517</v>
      </c>
      <c r="P514" s="158">
        <f t="shared" si="1416"/>
        <v>4.7157897023955559</v>
      </c>
      <c r="Q514" s="158">
        <f t="shared" si="1416"/>
        <v>5.1981196693470455</v>
      </c>
      <c r="R514" s="158">
        <f t="shared" si="1416"/>
        <v>5.0721088256468754</v>
      </c>
      <c r="S514" s="158">
        <f t="shared" si="1416"/>
        <v>4.665488696325701</v>
      </c>
      <c r="T514" s="158">
        <f t="shared" si="1416"/>
        <v>5.098060829086716</v>
      </c>
      <c r="U514" s="158">
        <f t="shared" si="1416"/>
        <v>5.3545734327224768</v>
      </c>
      <c r="V514" s="158">
        <f t="shared" si="1419"/>
        <v>5.3443062520787175</v>
      </c>
      <c r="W514" s="180">
        <f t="shared" si="1424"/>
        <v>5.0183505834410758</v>
      </c>
      <c r="X514" s="180"/>
      <c r="Y514" s="147"/>
      <c r="Z514" s="127"/>
    </row>
    <row r="515" spans="1:26" x14ac:dyDescent="0.25">
      <c r="A515" s="133" t="s">
        <v>4</v>
      </c>
      <c r="B515" s="158">
        <f t="shared" si="1413"/>
        <v>3.9630982925676297</v>
      </c>
      <c r="C515" s="158">
        <f t="shared" si="1413"/>
        <v>4.5706823375775389</v>
      </c>
      <c r="D515" s="158">
        <f t="shared" si="1413"/>
        <v>5.4167874635701967</v>
      </c>
      <c r="E515" s="158">
        <f t="shared" si="1413"/>
        <v>4.9786703281729849</v>
      </c>
      <c r="F515" s="158">
        <f t="shared" si="1413"/>
        <v>5.0985114396249136</v>
      </c>
      <c r="G515" s="158">
        <f t="shared" si="1413"/>
        <v>4.9643691238996341</v>
      </c>
      <c r="H515" s="158">
        <f t="shared" si="1423"/>
        <v>4.7338030070768768</v>
      </c>
      <c r="I515" s="158">
        <f t="shared" si="1423"/>
        <v>5.0861078600052858</v>
      </c>
      <c r="J515" s="180">
        <f t="shared" si="1423"/>
        <v>5.4933364281707568</v>
      </c>
      <c r="K515" s="180"/>
      <c r="L515" s="127"/>
      <c r="M515" s="2"/>
      <c r="N515" s="133" t="s">
        <v>4</v>
      </c>
      <c r="O515" s="158">
        <f t="shared" si="1416"/>
        <v>4.6967099321045227</v>
      </c>
      <c r="P515" s="158">
        <f t="shared" si="1416"/>
        <v>4.7870214320398929</v>
      </c>
      <c r="Q515" s="158">
        <f t="shared" si="1416"/>
        <v>5.2539144318244677</v>
      </c>
      <c r="R515" s="158">
        <f t="shared" si="1416"/>
        <v>5.035689807701889</v>
      </c>
      <c r="S515" s="158">
        <f t="shared" si="1416"/>
        <v>4.6945052713675555</v>
      </c>
      <c r="T515" s="158">
        <f t="shared" si="1416"/>
        <v>5.0896943651009412</v>
      </c>
      <c r="U515" s="158">
        <f t="shared" si="1416"/>
        <v>5.3490682124801712</v>
      </c>
      <c r="V515" s="158">
        <f t="shared" si="1419"/>
        <v>5.359544662083783</v>
      </c>
      <c r="W515" s="180">
        <f t="shared" si="1424"/>
        <v>5.0568247147086725</v>
      </c>
      <c r="X515" s="180"/>
      <c r="Y515" s="147"/>
      <c r="Z515" s="127"/>
    </row>
    <row r="516" spans="1:26" x14ac:dyDescent="0.25">
      <c r="A516" s="133" t="s">
        <v>5</v>
      </c>
      <c r="B516" s="158">
        <f t="shared" si="1413"/>
        <v>4.8889203076224748</v>
      </c>
      <c r="C516" s="158">
        <f t="shared" si="1413"/>
        <v>4.8044098271188842</v>
      </c>
      <c r="D516" s="158">
        <f t="shared" si="1413"/>
        <v>5.5335296782963299</v>
      </c>
      <c r="E516" s="158">
        <f t="shared" si="1413"/>
        <v>4.9127013656345166</v>
      </c>
      <c r="F516" s="158">
        <f t="shared" si="1413"/>
        <v>4.8825878226725905</v>
      </c>
      <c r="G516" s="158">
        <f t="shared" si="1413"/>
        <v>4.6155125575206517</v>
      </c>
      <c r="H516" s="158">
        <f t="shared" si="1423"/>
        <v>4.0731437214704371</v>
      </c>
      <c r="I516" s="158">
        <f t="shared" si="1423"/>
        <v>5.3616431901420016</v>
      </c>
      <c r="J516" s="180">
        <f t="shared" ref="J516" si="1425">+J337/J158</f>
        <v>6.0080933766448279</v>
      </c>
      <c r="K516" s="180"/>
      <c r="L516" s="127"/>
      <c r="M516" s="2"/>
      <c r="N516" s="133" t="s">
        <v>5</v>
      </c>
      <c r="O516" s="158">
        <f t="shared" si="1416"/>
        <v>4.5829494356471976</v>
      </c>
      <c r="P516" s="158">
        <f t="shared" si="1416"/>
        <v>4.7810952520535146</v>
      </c>
      <c r="Q516" s="158">
        <f t="shared" si="1416"/>
        <v>5.3499423682428873</v>
      </c>
      <c r="R516" s="158">
        <f t="shared" si="1416"/>
        <v>4.9629540977472573</v>
      </c>
      <c r="S516" s="158">
        <f t="shared" si="1416"/>
        <v>4.6839099153535741</v>
      </c>
      <c r="T516" s="158">
        <f t="shared" si="1416"/>
        <v>5.0667367310882412</v>
      </c>
      <c r="U516" s="158">
        <f t="shared" si="1416"/>
        <v>5.3158333962951012</v>
      </c>
      <c r="V516" s="158">
        <f t="shared" si="1419"/>
        <v>5.4879004016600437</v>
      </c>
      <c r="W516" s="180">
        <f t="shared" si="1424"/>
        <v>5.0996289427354826</v>
      </c>
      <c r="X516" s="180"/>
      <c r="Y516" s="147"/>
      <c r="Z516" s="127"/>
    </row>
    <row r="517" spans="1:26" x14ac:dyDescent="0.25">
      <c r="A517" s="133" t="s">
        <v>6</v>
      </c>
      <c r="B517" s="158">
        <f t="shared" si="1413"/>
        <v>5.1994385308223183</v>
      </c>
      <c r="C517" s="158">
        <f t="shared" si="1413"/>
        <v>5.3595635950303508</v>
      </c>
      <c r="D517" s="158">
        <f t="shared" si="1413"/>
        <v>4.9587857798856412</v>
      </c>
      <c r="E517" s="158">
        <f t="shared" si="1413"/>
        <v>6.5351545196934477</v>
      </c>
      <c r="F517" s="158">
        <f t="shared" si="1413"/>
        <v>5.7678846423071537</v>
      </c>
      <c r="G517" s="158">
        <f t="shared" si="1413"/>
        <v>6.4721106228228296</v>
      </c>
      <c r="H517" s="158">
        <f t="shared" si="1423"/>
        <v>5.0534515829811166</v>
      </c>
      <c r="I517" s="158">
        <f>+I338/I159</f>
        <v>5.7416864574418032</v>
      </c>
      <c r="J517" s="180">
        <f t="shared" ref="J517:J520" si="1426">+J338/J159</f>
        <v>5.3283574353392424</v>
      </c>
      <c r="K517" s="180"/>
      <c r="L517" s="127"/>
      <c r="M517" s="2"/>
      <c r="N517" s="133" t="s">
        <v>6</v>
      </c>
      <c r="O517" s="158">
        <f t="shared" si="1416"/>
        <v>4.5832280418740243</v>
      </c>
      <c r="P517" s="158">
        <f t="shared" si="1416"/>
        <v>4.8118486845179671</v>
      </c>
      <c r="Q517" s="158">
        <f t="shared" si="1416"/>
        <v>5.3027174802377042</v>
      </c>
      <c r="R517" s="158">
        <f t="shared" si="1416"/>
        <v>5.058720706721366</v>
      </c>
      <c r="S517" s="158">
        <f t="shared" si="1416"/>
        <v>4.6234223874623641</v>
      </c>
      <c r="T517" s="158">
        <f t="shared" si="1416"/>
        <v>5.1581843191196697</v>
      </c>
      <c r="U517" s="158">
        <f t="shared" si="1416"/>
        <v>5.1615207096345221</v>
      </c>
      <c r="V517" s="158">
        <f t="shared" si="1419"/>
        <v>5.5704768624454744</v>
      </c>
      <c r="W517" s="180">
        <f t="shared" si="1424"/>
        <v>5.0795475918636823</v>
      </c>
      <c r="X517" s="180"/>
      <c r="Y517" s="147"/>
      <c r="Z517" s="127"/>
    </row>
    <row r="518" spans="1:26" x14ac:dyDescent="0.25">
      <c r="A518" s="133" t="s">
        <v>7</v>
      </c>
      <c r="B518" s="158">
        <f t="shared" si="1413"/>
        <v>5.2390398799328786</v>
      </c>
      <c r="C518" s="158">
        <f t="shared" si="1413"/>
        <v>5.6251870412733522</v>
      </c>
      <c r="D518" s="158">
        <f t="shared" si="1413"/>
        <v>5.0900194133446801</v>
      </c>
      <c r="E518" s="158">
        <f t="shared" si="1413"/>
        <v>4.8859802776696508</v>
      </c>
      <c r="F518" s="158">
        <f t="shared" si="1413"/>
        <v>5.2386410030644814</v>
      </c>
      <c r="G518" s="158">
        <f t="shared" si="1413"/>
        <v>4.898971316825345</v>
      </c>
      <c r="H518" s="158">
        <f t="shared" si="1423"/>
        <v>7.4467821475478893</v>
      </c>
      <c r="I518" s="158">
        <f t="shared" si="1423"/>
        <v>5.0105741650055906</v>
      </c>
      <c r="J518" s="180">
        <f t="shared" si="1426"/>
        <v>4.6008379472915415</v>
      </c>
      <c r="K518" s="180"/>
      <c r="L518" s="127"/>
      <c r="M518" s="2"/>
      <c r="N518" s="133" t="s">
        <v>7</v>
      </c>
      <c r="O518" s="158">
        <f t="shared" si="1416"/>
        <v>4.6431695256863614</v>
      </c>
      <c r="P518" s="158">
        <f t="shared" si="1416"/>
        <v>4.8230652685897732</v>
      </c>
      <c r="Q518" s="158">
        <f t="shared" si="1416"/>
        <v>5.268096608848758</v>
      </c>
      <c r="R518" s="158">
        <f t="shared" si="1416"/>
        <v>5.0412760775044028</v>
      </c>
      <c r="S518" s="158">
        <f t="shared" si="1416"/>
        <v>4.648139944950092</v>
      </c>
      <c r="T518" s="158">
        <f t="shared" si="1416"/>
        <v>5.1340863231808154</v>
      </c>
      <c r="U518" s="158">
        <f t="shared" si="1416"/>
        <v>5.3464705342208827</v>
      </c>
      <c r="V518" s="158">
        <f t="shared" si="1419"/>
        <v>5.3223755213508745</v>
      </c>
      <c r="W518" s="180">
        <f t="shared" si="1419"/>
        <v>5.040888993056468</v>
      </c>
      <c r="X518" s="180"/>
      <c r="Y518" s="147"/>
      <c r="Z518" s="127"/>
    </row>
    <row r="519" spans="1:26" x14ac:dyDescent="0.25">
      <c r="A519" s="133" t="s">
        <v>8</v>
      </c>
      <c r="B519" s="158">
        <f t="shared" ref="B519:G521" si="1427">+B340/B161</f>
        <v>3.895239989301805</v>
      </c>
      <c r="C519" s="158">
        <f t="shared" si="1427"/>
        <v>4.9159219592059484</v>
      </c>
      <c r="D519" s="158">
        <f t="shared" si="1427"/>
        <v>4.0260680666183921</v>
      </c>
      <c r="E519" s="158">
        <f t="shared" si="1427"/>
        <v>4.6974390692565677</v>
      </c>
      <c r="F519" s="158">
        <f t="shared" si="1427"/>
        <v>4.3648023565330121</v>
      </c>
      <c r="G519" s="158">
        <f t="shared" si="1427"/>
        <v>5.2141024893604611</v>
      </c>
      <c r="H519" s="158">
        <f t="shared" si="1423"/>
        <v>5.6111872624023436</v>
      </c>
      <c r="I519" s="158">
        <f t="shared" si="1423"/>
        <v>5.5029408011985463</v>
      </c>
      <c r="J519" s="180">
        <f t="shared" si="1426"/>
        <v>5.5499856774563163</v>
      </c>
      <c r="K519" s="180"/>
      <c r="L519" s="127"/>
      <c r="M519" s="2"/>
      <c r="N519" s="133" t="s">
        <v>8</v>
      </c>
      <c r="O519" s="158">
        <f t="shared" ref="O519:S521" si="1428">+O340/O161</f>
        <v>4.6266430289085401</v>
      </c>
      <c r="P519" s="158">
        <f t="shared" si="1428"/>
        <v>4.8689680365296804</v>
      </c>
      <c r="Q519" s="158">
        <f t="shared" si="1428"/>
        <v>5.1083124576223318</v>
      </c>
      <c r="R519" s="158">
        <f t="shared" si="1428"/>
        <v>5.2128839202239927</v>
      </c>
      <c r="S519" s="158">
        <f t="shared" si="1428"/>
        <v>4.6150712312373487</v>
      </c>
      <c r="T519" s="158">
        <f t="shared" ref="T519:U519" si="1429">+T340/T161</f>
        <v>5.2128107433075437</v>
      </c>
      <c r="U519" s="158">
        <f t="shared" si="1429"/>
        <v>5.3816060621566439</v>
      </c>
      <c r="V519" s="158">
        <f t="shared" si="1419"/>
        <v>5.3229090601684037</v>
      </c>
      <c r="W519" s="180">
        <f t="shared" si="1419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427"/>
        <v>4.0440336982778309</v>
      </c>
      <c r="C520" s="158">
        <f t="shared" si="1427"/>
        <v>4.3800851056977343</v>
      </c>
      <c r="D520" s="158">
        <f t="shared" si="1427"/>
        <v>5.7598913906094795</v>
      </c>
      <c r="E520" s="158">
        <f t="shared" si="1427"/>
        <v>6.1802516875275604</v>
      </c>
      <c r="F520" s="158">
        <f t="shared" si="1427"/>
        <v>6.4385006826362163</v>
      </c>
      <c r="G520" s="158">
        <f t="shared" si="1427"/>
        <v>7.4685442489280431</v>
      </c>
      <c r="H520" s="158">
        <f t="shared" si="1423"/>
        <v>6.5169218372280424</v>
      </c>
      <c r="I520" s="158">
        <f t="shared" si="1423"/>
        <v>3.6020271635826866</v>
      </c>
      <c r="J520" s="180">
        <f t="shared" si="1426"/>
        <v>6.3209511654463624</v>
      </c>
      <c r="K520" s="180"/>
      <c r="L520" s="127"/>
      <c r="M520" s="2"/>
      <c r="N520" s="133" t="s">
        <v>9</v>
      </c>
      <c r="O520" s="158">
        <f t="shared" si="1428"/>
        <v>4.5943307680218295</v>
      </c>
      <c r="P520" s="158">
        <f t="shared" si="1428"/>
        <v>4.9148508016333485</v>
      </c>
      <c r="Q520" s="158">
        <f t="shared" si="1428"/>
        <v>5.2058745120471608</v>
      </c>
      <c r="R520" s="158">
        <f t="shared" si="1428"/>
        <v>5.2264607678092148</v>
      </c>
      <c r="S520" s="158">
        <f t="shared" si="1428"/>
        <v>4.6168133126467179</v>
      </c>
      <c r="T520" s="158">
        <f t="shared" ref="T520:U520" si="1430">+T341/T162</f>
        <v>5.2919755104943569</v>
      </c>
      <c r="U520" s="158">
        <f t="shared" si="1430"/>
        <v>5.2644139857017356</v>
      </c>
      <c r="V520" s="158">
        <f t="shared" si="1419"/>
        <v>4.9862035743040929</v>
      </c>
      <c r="W520" s="180">
        <f t="shared" si="1419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427"/>
        <v>4.5943307680218304</v>
      </c>
      <c r="C521" s="182">
        <f t="shared" si="1427"/>
        <v>4.9148508016333485</v>
      </c>
      <c r="D521" s="182">
        <f t="shared" si="1427"/>
        <v>5.2058745120471608</v>
      </c>
      <c r="E521" s="182">
        <f t="shared" si="1427"/>
        <v>5.2264607678092148</v>
      </c>
      <c r="F521" s="182">
        <f t="shared" si="1427"/>
        <v>4.6168133126467179</v>
      </c>
      <c r="G521" s="182">
        <f t="shared" ref="G521:I521" si="1431">+G342/G163</f>
        <v>5.2919755104943569</v>
      </c>
      <c r="H521" s="182">
        <f t="shared" si="1431"/>
        <v>5.2644139857017356</v>
      </c>
      <c r="I521" s="182">
        <f t="shared" si="1431"/>
        <v>4.9862035743040929</v>
      </c>
      <c r="J521" s="183">
        <f t="shared" ref="J521" si="1432">+J342/J163</f>
        <v>5.4195883793466306</v>
      </c>
      <c r="K521" s="183"/>
      <c r="L521" s="137"/>
      <c r="M521" s="3"/>
      <c r="N521" s="134" t="s">
        <v>14</v>
      </c>
      <c r="O521" s="182">
        <f t="shared" si="1428"/>
        <v>4.6606199199169831</v>
      </c>
      <c r="P521" s="182">
        <f t="shared" si="1428"/>
        <v>4.76924603028493</v>
      </c>
      <c r="Q521" s="182">
        <f t="shared" si="1428"/>
        <v>5.1514765157805051</v>
      </c>
      <c r="R521" s="182">
        <f t="shared" si="1428"/>
        <v>5.0998887680743854</v>
      </c>
      <c r="S521" s="182">
        <f t="shared" si="1428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5.4285142353271842</v>
      </c>
      <c r="Y521" s="149">
        <f>+X521/W521-1</f>
        <v>6.1893719051264284E-2</v>
      </c>
      <c r="Z521" s="156">
        <f>+POWER(X521/S521,0.2)-1</f>
        <v>2.3744141755584369E-2</v>
      </c>
    </row>
    <row r="522" spans="1:26" ht="25.5" x14ac:dyDescent="0.25">
      <c r="A522" s="135" t="s">
        <v>15</v>
      </c>
      <c r="B522" s="138">
        <f t="shared" ref="B522:I522" si="1433">+B521/B$539</f>
        <v>1.4582261732598023</v>
      </c>
      <c r="C522" s="138">
        <f t="shared" si="1433"/>
        <v>1.368715950938135</v>
      </c>
      <c r="D522" s="138">
        <f t="shared" si="1433"/>
        <v>1.7325862610665446</v>
      </c>
      <c r="E522" s="138">
        <f t="shared" si="1433"/>
        <v>2.0014500398046673</v>
      </c>
      <c r="F522" s="138">
        <f t="shared" si="1433"/>
        <v>2.3129631338324828</v>
      </c>
      <c r="G522" s="138">
        <f t="shared" si="1433"/>
        <v>1.8500878221098938</v>
      </c>
      <c r="H522" s="138">
        <f t="shared" si="1433"/>
        <v>1.6496938702701252</v>
      </c>
      <c r="I522" s="138">
        <f t="shared" si="1433"/>
        <v>1.414115611891922</v>
      </c>
      <c r="J522" s="139">
        <f t="shared" ref="J522" si="1434">+J521/J$539</f>
        <v>1.553971623867082</v>
      </c>
      <c r="K522" s="139"/>
      <c r="L522" s="140"/>
      <c r="M522" s="3"/>
      <c r="N522" s="135" t="s">
        <v>15</v>
      </c>
      <c r="O522" s="138">
        <f t="shared" ref="O522:T522" si="1435">+O521/O$539</f>
        <v>1.4993179631228668</v>
      </c>
      <c r="P522" s="138">
        <f t="shared" si="1435"/>
        <v>1.4154027836608742</v>
      </c>
      <c r="Q522" s="138">
        <f t="shared" si="1435"/>
        <v>1.4985413241698924</v>
      </c>
      <c r="R522" s="138">
        <f t="shared" si="1435"/>
        <v>1.8493805776997823</v>
      </c>
      <c r="S522" s="138">
        <f t="shared" si="1435"/>
        <v>2.2874179427068819</v>
      </c>
      <c r="T522" s="138">
        <f t="shared" si="1435"/>
        <v>2.0280871866219661</v>
      </c>
      <c r="U522" s="138">
        <f t="shared" ref="U522:X522" si="1436">+U521/U$539</f>
        <v>1.7495368349000677</v>
      </c>
      <c r="V522" s="138">
        <f t="shared" si="1436"/>
        <v>1.5575340647091014</v>
      </c>
      <c r="W522" s="139">
        <f t="shared" si="1436"/>
        <v>1.4575119474869553</v>
      </c>
      <c r="X522" s="139">
        <f t="shared" si="1436"/>
        <v>1.5537158049305211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437">+D521/C521-1</f>
        <v>5.9213132231215715E-2</v>
      </c>
      <c r="E523" s="142">
        <f t="shared" ref="E523" si="1438">+E521/D521-1</f>
        <v>3.9544279667929061E-3</v>
      </c>
      <c r="F523" s="142">
        <f t="shared" ref="F523:H523" si="1439">+F521/E521-1</f>
        <v>-0.11664632764823069</v>
      </c>
      <c r="G523" s="142">
        <f t="shared" si="1439"/>
        <v>0.14623987415696105</v>
      </c>
      <c r="H523" s="142">
        <f t="shared" si="1439"/>
        <v>-5.2081731553679234E-3</v>
      </c>
      <c r="I523" s="142">
        <f t="shared" ref="I523:J523" si="1440">+I521/H521-1</f>
        <v>-5.2847365756809483E-2</v>
      </c>
      <c r="J523" s="143">
        <f t="shared" si="1440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441">+Q521/P521-1</f>
        <v>8.0144845342092763E-2</v>
      </c>
      <c r="R523" s="142">
        <f t="shared" ref="R523" si="1442">+R521/Q521-1</f>
        <v>-1.0014167306808264E-2</v>
      </c>
      <c r="S523" s="142">
        <f t="shared" ref="S523" si="1443">+S521/R521-1</f>
        <v>-5.3407347416802309E-2</v>
      </c>
      <c r="T523" s="142">
        <f t="shared" ref="T523:V523" si="1444">+T521/S521-1</f>
        <v>3.8760745614220715E-2</v>
      </c>
      <c r="U523" s="142">
        <f t="shared" si="1444"/>
        <v>5.5156877623055323E-2</v>
      </c>
      <c r="V523" s="142">
        <f t="shared" si="1444"/>
        <v>-7.2058132204766423E-4</v>
      </c>
      <c r="W523" s="143">
        <f t="shared" ref="W523" si="1445">+W521/V521-1</f>
        <v>-3.3155592069644246E-2</v>
      </c>
      <c r="X523" s="143">
        <f t="shared" ref="X523" si="1446">+X521/W521-1</f>
        <v>6.1893719051264284E-2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50" t="s">
        <v>98</v>
      </c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2"/>
      <c r="M525" s="2"/>
      <c r="N525" s="350" t="s">
        <v>99</v>
      </c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2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447">+C526+1</f>
        <v>2018</v>
      </c>
      <c r="E526" s="129">
        <f t="shared" ref="E526" si="1448">+D526+1</f>
        <v>2019</v>
      </c>
      <c r="F526" s="129">
        <f t="shared" ref="F526" si="1449">+E526+1</f>
        <v>2020</v>
      </c>
      <c r="G526" s="129">
        <f t="shared" ref="G526" si="1450">+F526+1</f>
        <v>2021</v>
      </c>
      <c r="H526" s="129">
        <f t="shared" ref="H526" si="1451">+G526+1</f>
        <v>2022</v>
      </c>
      <c r="I526" s="129">
        <f t="shared" ref="I526" si="1452">+H526+1</f>
        <v>2023</v>
      </c>
      <c r="J526" s="130">
        <f t="shared" ref="J526:K526" si="1453">+I526+1</f>
        <v>2024</v>
      </c>
      <c r="K526" s="130">
        <f t="shared" si="1453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454">+P526+1</f>
        <v>2018</v>
      </c>
      <c r="R526" s="129">
        <f t="shared" si="1454"/>
        <v>2019</v>
      </c>
      <c r="S526" s="129">
        <f t="shared" si="1454"/>
        <v>2020</v>
      </c>
      <c r="T526" s="129">
        <f t="shared" si="1454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455">+B348/B169</f>
        <v>2.8036463590368634</v>
      </c>
      <c r="C527" s="158">
        <f t="shared" si="1455"/>
        <v>3.0623701654241349</v>
      </c>
      <c r="D527" s="158">
        <f t="shared" si="1455"/>
        <v>3.736407943326018</v>
      </c>
      <c r="E527" s="158">
        <f t="shared" si="1455"/>
        <v>2.3291054487600209</v>
      </c>
      <c r="F527" s="158">
        <f t="shared" si="1455"/>
        <v>1.4408141362543434</v>
      </c>
      <c r="G527" s="158">
        <f t="shared" si="1455"/>
        <v>2.705962218259117</v>
      </c>
      <c r="H527" s="158">
        <f t="shared" ref="H527:J527" si="1456">+H348/H169</f>
        <v>2.6523049517409882</v>
      </c>
      <c r="I527" s="158">
        <f t="shared" si="1456"/>
        <v>3.4427654330699413</v>
      </c>
      <c r="J527" s="180">
        <f t="shared" si="1456"/>
        <v>3.3095697682651517</v>
      </c>
      <c r="K527" s="180">
        <f t="shared" ref="K527" si="1457">+K348/K169</f>
        <v>3.3674897133065058</v>
      </c>
      <c r="L527" s="127">
        <f>+K527/J527-1</f>
        <v>1.7500747558410135E-2</v>
      </c>
      <c r="M527" s="2"/>
      <c r="N527" s="133" t="s">
        <v>10</v>
      </c>
      <c r="O527" s="158">
        <f t="shared" ref="O527:U536" si="1458">+O348/O169</f>
        <v>3.0400663788868432</v>
      </c>
      <c r="P527" s="158">
        <f t="shared" si="1458"/>
        <v>3.1695775890840205</v>
      </c>
      <c r="Q527" s="158">
        <f t="shared" si="1458"/>
        <v>3.6454516409668614</v>
      </c>
      <c r="R527" s="158">
        <f t="shared" si="1458"/>
        <v>2.9132528402294997</v>
      </c>
      <c r="S527" s="158">
        <f t="shared" si="1458"/>
        <v>2.4960836786724014</v>
      </c>
      <c r="T527" s="158">
        <f t="shared" si="1458"/>
        <v>2.0883994723654431</v>
      </c>
      <c r="U527" s="158">
        <f t="shared" si="1458"/>
        <v>2.8604395613110132</v>
      </c>
      <c r="V527" s="158">
        <f t="shared" ref="V527:X529" si="1459">+V348/V169</f>
        <v>3.2381488427972633</v>
      </c>
      <c r="W527" s="180">
        <f t="shared" si="1459"/>
        <v>3.5182797838585769</v>
      </c>
      <c r="X527" s="180">
        <f t="shared" si="1459"/>
        <v>3.4922417299536677</v>
      </c>
      <c r="Y527" s="147">
        <f>+X527/W527-1</f>
        <v>-7.4007911549185401E-3</v>
      </c>
      <c r="Z527" s="127">
        <f>+POWER(X527/S527,0.2)-1</f>
        <v>6.947104619332789E-2</v>
      </c>
    </row>
    <row r="528" spans="1:26" x14ac:dyDescent="0.25">
      <c r="A528" s="248" t="s">
        <v>11</v>
      </c>
      <c r="B528" s="158">
        <f t="shared" si="1455"/>
        <v>2.8741786430247442</v>
      </c>
      <c r="C528" s="158">
        <f t="shared" si="1455"/>
        <v>3.4799008550392343</v>
      </c>
      <c r="D528" s="158">
        <f t="shared" si="1455"/>
        <v>3.7097429339650163</v>
      </c>
      <c r="E528" s="158">
        <f t="shared" si="1455"/>
        <v>2.6582960877274222</v>
      </c>
      <c r="F528" s="158">
        <f t="shared" si="1455"/>
        <v>1.4993601849409242</v>
      </c>
      <c r="G528" s="158">
        <f t="shared" si="1455"/>
        <v>2.6611027360117303</v>
      </c>
      <c r="H528" s="158">
        <f t="shared" ref="H528:J528" si="1460">+H349/H170</f>
        <v>3.1258674770872155</v>
      </c>
      <c r="I528" s="158">
        <f t="shared" si="1460"/>
        <v>3.375374507161963</v>
      </c>
      <c r="J528" s="180">
        <f t="shared" si="1460"/>
        <v>3.2991353691334515</v>
      </c>
      <c r="K528" s="180">
        <f>+K349/K170</f>
        <v>3.3087608939780777</v>
      </c>
      <c r="L528" s="127">
        <f>+K528/J528-1</f>
        <v>2.9175901464009169E-3</v>
      </c>
      <c r="M528" s="2"/>
      <c r="N528" s="133" t="s">
        <v>11</v>
      </c>
      <c r="O528" s="158">
        <f t="shared" si="1458"/>
        <v>3.0433214681029379</v>
      </c>
      <c r="P528" s="158">
        <f t="shared" si="1458"/>
        <v>3.2123067077651091</v>
      </c>
      <c r="Q528" s="158">
        <f t="shared" si="1458"/>
        <v>3.6615453558994879</v>
      </c>
      <c r="R528" s="158">
        <f t="shared" si="1458"/>
        <v>2.8535638717971179</v>
      </c>
      <c r="S528" s="158">
        <f t="shared" si="1458"/>
        <v>2.3645465945156996</v>
      </c>
      <c r="T528" s="158">
        <f t="shared" si="1458"/>
        <v>2.1925381339992209</v>
      </c>
      <c r="U528" s="158">
        <f t="shared" si="1458"/>
        <v>2.8963977423923724</v>
      </c>
      <c r="V528" s="158">
        <f t="shared" ref="V528:W538" si="1461">+V349/V170</f>
        <v>3.2563495702994856</v>
      </c>
      <c r="W528" s="180">
        <f t="shared" si="1461"/>
        <v>3.5135754672468229</v>
      </c>
      <c r="X528" s="180">
        <f t="shared" si="1459"/>
        <v>3.4923826193684344</v>
      </c>
      <c r="Y528" s="147">
        <f>+X528/W528-1</f>
        <v>-6.0317041930494364E-3</v>
      </c>
      <c r="Z528" s="127">
        <f>+POWER(X528/S528,0.2)-1</f>
        <v>8.1122207511009847E-2</v>
      </c>
    </row>
    <row r="529" spans="1:26" x14ac:dyDescent="0.25">
      <c r="A529" s="248" t="s">
        <v>0</v>
      </c>
      <c r="B529" s="158">
        <f t="shared" si="1455"/>
        <v>3.1943318534733787</v>
      </c>
      <c r="C529" s="158">
        <f t="shared" si="1455"/>
        <v>3.6919834348676672</v>
      </c>
      <c r="D529" s="158">
        <f t="shared" si="1455"/>
        <v>3.6414442686303796</v>
      </c>
      <c r="E529" s="158">
        <f t="shared" si="1455"/>
        <v>3.1757200077601548</v>
      </c>
      <c r="F529" s="158">
        <f t="shared" si="1455"/>
        <v>1.690332674181636</v>
      </c>
      <c r="G529" s="158">
        <f t="shared" si="1455"/>
        <v>2.4956551856399427</v>
      </c>
      <c r="H529" s="158">
        <f t="shared" ref="H529:J529" si="1462">+H350/H171</f>
        <v>2.8575660042945445</v>
      </c>
      <c r="I529" s="158">
        <f t="shared" si="1462"/>
        <v>3.4409133451693927</v>
      </c>
      <c r="J529" s="180">
        <f t="shared" si="1462"/>
        <v>3.5894832883461971</v>
      </c>
      <c r="K529" s="180">
        <f>+K350/K171</f>
        <v>3.6455041730389275</v>
      </c>
      <c r="L529" s="127">
        <f>+K529/J529-1</f>
        <v>1.560694957812192E-2</v>
      </c>
      <c r="M529" s="2"/>
      <c r="N529" s="133" t="s">
        <v>0</v>
      </c>
      <c r="O529" s="158">
        <f t="shared" si="1458"/>
        <v>3.1023384123934843</v>
      </c>
      <c r="P529" s="158">
        <f t="shared" si="1458"/>
        <v>3.246211192343321</v>
      </c>
      <c r="Q529" s="158">
        <f t="shared" si="1458"/>
        <v>3.657538073888468</v>
      </c>
      <c r="R529" s="158">
        <f t="shared" si="1458"/>
        <v>2.8267699753238058</v>
      </c>
      <c r="S529" s="158">
        <f t="shared" si="1458"/>
        <v>2.2472877497421879</v>
      </c>
      <c r="T529" s="158">
        <f t="shared" si="1458"/>
        <v>2.2683054199575876</v>
      </c>
      <c r="U529" s="158">
        <f t="shared" si="1458"/>
        <v>2.9312598017561724</v>
      </c>
      <c r="V529" s="158">
        <f t="shared" si="1461"/>
        <v>3.3080703559610511</v>
      </c>
      <c r="W529" s="180">
        <f t="shared" si="1461"/>
        <v>3.5267376687552683</v>
      </c>
      <c r="X529" s="180">
        <f t="shared" si="1459"/>
        <v>3.497043191997828</v>
      </c>
      <c r="Y529" s="147">
        <f>+X529/W529-1</f>
        <v>-8.4198144422578114E-3</v>
      </c>
      <c r="Z529" s="127">
        <f>+POWER(X529/S529,0.2)-1</f>
        <v>9.2467340135100162E-2</v>
      </c>
    </row>
    <row r="530" spans="1:26" x14ac:dyDescent="0.25">
      <c r="A530" s="248" t="s">
        <v>1</v>
      </c>
      <c r="B530" s="158">
        <f t="shared" si="1455"/>
        <v>3.2093973586887761</v>
      </c>
      <c r="C530" s="158">
        <f t="shared" si="1455"/>
        <v>3.5918816815321506</v>
      </c>
      <c r="D530" s="158">
        <f t="shared" si="1455"/>
        <v>3.4145776858772079</v>
      </c>
      <c r="E530" s="158">
        <f t="shared" si="1455"/>
        <v>2.7930040508404819</v>
      </c>
      <c r="F530" s="158">
        <f t="shared" si="1455"/>
        <v>2.1231418564982527</v>
      </c>
      <c r="G530" s="158">
        <f t="shared" si="1455"/>
        <v>2.9021156812069853</v>
      </c>
      <c r="H530" s="158">
        <f t="shared" ref="H530:J530" si="1463">+H351/H172</f>
        <v>2.905511910430103</v>
      </c>
      <c r="I530" s="158">
        <f t="shared" si="1463"/>
        <v>3.5464639049148716</v>
      </c>
      <c r="J530" s="180">
        <f t="shared" si="1463"/>
        <v>3.3401412158318258</v>
      </c>
      <c r="K530" s="180"/>
      <c r="L530" s="127"/>
      <c r="M530" s="2"/>
      <c r="N530" s="133" t="s">
        <v>1</v>
      </c>
      <c r="O530" s="158">
        <f t="shared" si="1458"/>
        <v>3.1306491899283246</v>
      </c>
      <c r="P530" s="158">
        <f t="shared" si="1458"/>
        <v>3.2733707736465707</v>
      </c>
      <c r="Q530" s="158">
        <f t="shared" si="1458"/>
        <v>3.6418231283443716</v>
      </c>
      <c r="R530" s="158">
        <f t="shared" si="1458"/>
        <v>2.7861064536635842</v>
      </c>
      <c r="S530" s="158">
        <f t="shared" si="1458"/>
        <v>2.2026685083008672</v>
      </c>
      <c r="T530" s="158">
        <f t="shared" si="1458"/>
        <v>2.3195575096078787</v>
      </c>
      <c r="U530" s="158">
        <f t="shared" si="1458"/>
        <v>2.9314341194637117</v>
      </c>
      <c r="V530" s="158">
        <f t="shared" si="1461"/>
        <v>3.3641039786456628</v>
      </c>
      <c r="W530" s="180">
        <f t="shared" ref="W530" si="1464">+W351/W172</f>
        <v>3.5092766512688529</v>
      </c>
      <c r="X530" s="180"/>
      <c r="Y530" s="147"/>
      <c r="Z530" s="127"/>
    </row>
    <row r="531" spans="1:26" x14ac:dyDescent="0.25">
      <c r="A531" s="248" t="s">
        <v>2</v>
      </c>
      <c r="B531" s="158">
        <f t="shared" si="1455"/>
        <v>3.1918897228930172</v>
      </c>
      <c r="C531" s="158">
        <f t="shared" si="1455"/>
        <v>3.7780269670896591</v>
      </c>
      <c r="D531" s="158">
        <f t="shared" si="1455"/>
        <v>3.5075528027077514</v>
      </c>
      <c r="E531" s="158">
        <f t="shared" si="1455"/>
        <v>3.0616255615365646</v>
      </c>
      <c r="F531" s="158">
        <f t="shared" si="1455"/>
        <v>2.0206155598243249</v>
      </c>
      <c r="G531" s="158">
        <f t="shared" si="1455"/>
        <v>2.5687940902782773</v>
      </c>
      <c r="H531" s="158">
        <f t="shared" ref="H531:J538" si="1465">+H352/H173</f>
        <v>3.4186813188171197</v>
      </c>
      <c r="I531" s="158">
        <f t="shared" si="1465"/>
        <v>3.2758001781417514</v>
      </c>
      <c r="J531" s="180">
        <f t="shared" si="1465"/>
        <v>3.6679181143078514</v>
      </c>
      <c r="K531" s="180"/>
      <c r="L531" s="127"/>
      <c r="M531" s="2"/>
      <c r="N531" s="133" t="s">
        <v>2</v>
      </c>
      <c r="O531" s="158">
        <f t="shared" si="1458"/>
        <v>3.1359087321166808</v>
      </c>
      <c r="P531" s="158">
        <f t="shared" si="1458"/>
        <v>3.3178492896317731</v>
      </c>
      <c r="Q531" s="158">
        <f t="shared" si="1458"/>
        <v>3.6204287910540338</v>
      </c>
      <c r="R531" s="158">
        <f t="shared" si="1458"/>
        <v>2.7639917070616282</v>
      </c>
      <c r="S531" s="158">
        <f t="shared" si="1458"/>
        <v>2.1318262256821536</v>
      </c>
      <c r="T531" s="158">
        <f t="shared" si="1458"/>
        <v>2.3723767058186738</v>
      </c>
      <c r="U531" s="158">
        <f t="shared" si="1458"/>
        <v>3.0148257489284171</v>
      </c>
      <c r="V531" s="158">
        <f t="shared" si="1461"/>
        <v>3.3515484993817903</v>
      </c>
      <c r="W531" s="180">
        <f t="shared" ref="W531:W535" si="1466">+W352/W173</f>
        <v>3.54396080028845</v>
      </c>
      <c r="X531" s="180"/>
      <c r="Y531" s="147"/>
      <c r="Z531" s="127"/>
    </row>
    <row r="532" spans="1:26" x14ac:dyDescent="0.25">
      <c r="A532" s="248" t="s">
        <v>3</v>
      </c>
      <c r="B532" s="158">
        <f t="shared" si="1455"/>
        <v>3.0462250145935772</v>
      </c>
      <c r="C532" s="158">
        <f t="shared" si="1455"/>
        <v>3.4977800070650278</v>
      </c>
      <c r="D532" s="158">
        <f t="shared" si="1455"/>
        <v>3.8099715562600585</v>
      </c>
      <c r="E532" s="158">
        <f t="shared" si="1455"/>
        <v>3.1788361440238799</v>
      </c>
      <c r="F532" s="158">
        <f t="shared" si="1455"/>
        <v>1.7629708403572044</v>
      </c>
      <c r="G532" s="158">
        <f t="shared" si="1455"/>
        <v>2.931285016801584</v>
      </c>
      <c r="H532" s="158">
        <f t="shared" si="1465"/>
        <v>3.1053805941694379</v>
      </c>
      <c r="I532" s="158">
        <f t="shared" si="1465"/>
        <v>3.7459478969204514</v>
      </c>
      <c r="J532" s="180">
        <f t="shared" ref="J532:J538" si="1467">+J353/J174</f>
        <v>3.8294092426702666</v>
      </c>
      <c r="K532" s="180"/>
      <c r="L532" s="127"/>
      <c r="M532" s="2"/>
      <c r="N532" s="133" t="s">
        <v>3</v>
      </c>
      <c r="O532" s="158">
        <f t="shared" si="1458"/>
        <v>3.1302825179430087</v>
      </c>
      <c r="P532" s="158">
        <f t="shared" si="1458"/>
        <v>3.3523228672248124</v>
      </c>
      <c r="Q532" s="158">
        <f t="shared" si="1458"/>
        <v>3.6451395590895999</v>
      </c>
      <c r="R532" s="158">
        <f t="shared" si="1458"/>
        <v>2.7335682884984642</v>
      </c>
      <c r="S532" s="158">
        <f t="shared" si="1458"/>
        <v>2.0570229405237295</v>
      </c>
      <c r="T532" s="158">
        <f t="shared" si="1458"/>
        <v>2.4551423711804006</v>
      </c>
      <c r="U532" s="158">
        <f t="shared" si="1458"/>
        <v>3.0284037919652853</v>
      </c>
      <c r="V532" s="158">
        <f t="shared" si="1461"/>
        <v>3.3992652659738822</v>
      </c>
      <c r="W532" s="180">
        <f t="shared" si="1466"/>
        <v>3.5444548209341815</v>
      </c>
      <c r="X532" s="180"/>
      <c r="Y532" s="147"/>
      <c r="Z532" s="127"/>
    </row>
    <row r="533" spans="1:26" x14ac:dyDescent="0.25">
      <c r="A533" s="248" t="s">
        <v>4</v>
      </c>
      <c r="B533" s="158">
        <f t="shared" si="1455"/>
        <v>3.063898313331479</v>
      </c>
      <c r="C533" s="158">
        <f t="shared" si="1455"/>
        <v>3.5444340212893612</v>
      </c>
      <c r="D533" s="158">
        <f t="shared" si="1455"/>
        <v>3.2730202952459617</v>
      </c>
      <c r="E533" s="158">
        <f t="shared" si="1455"/>
        <v>2.724260173053477</v>
      </c>
      <c r="F533" s="158">
        <f t="shared" si="1455"/>
        <v>2.2969390243051975</v>
      </c>
      <c r="G533" s="158">
        <f t="shared" si="1455"/>
        <v>3.1678000434028899</v>
      </c>
      <c r="H533" s="158">
        <f t="shared" si="1465"/>
        <v>3.4530073019674377</v>
      </c>
      <c r="I533" s="158">
        <f t="shared" si="1465"/>
        <v>3.9556860747048601</v>
      </c>
      <c r="J533" s="180">
        <f t="shared" si="1467"/>
        <v>3.4895905423685343</v>
      </c>
      <c r="K533" s="180"/>
      <c r="L533" s="127"/>
      <c r="M533" s="2"/>
      <c r="N533" s="133" t="s">
        <v>4</v>
      </c>
      <c r="O533" s="158">
        <f t="shared" si="1458"/>
        <v>3.114497395958177</v>
      </c>
      <c r="P533" s="158">
        <f t="shared" si="1458"/>
        <v>3.3929689186113006</v>
      </c>
      <c r="Q533" s="158">
        <f t="shared" si="1458"/>
        <v>3.6171468976065779</v>
      </c>
      <c r="R533" s="158">
        <f t="shared" si="1458"/>
        <v>2.6936914488927752</v>
      </c>
      <c r="S533" s="158">
        <f t="shared" si="1458"/>
        <v>2.0286572530285132</v>
      </c>
      <c r="T533" s="158">
        <f t="shared" si="1458"/>
        <v>2.5221901600267369</v>
      </c>
      <c r="U533" s="158">
        <f t="shared" si="1458"/>
        <v>3.0409097324541148</v>
      </c>
      <c r="V533" s="158">
        <f t="shared" si="1461"/>
        <v>3.4360447784530259</v>
      </c>
      <c r="W533" s="180">
        <f t="shared" si="1466"/>
        <v>3.5039080009644796</v>
      </c>
      <c r="X533" s="180"/>
      <c r="Y533" s="147"/>
      <c r="Z533" s="127"/>
    </row>
    <row r="534" spans="1:26" x14ac:dyDescent="0.25">
      <c r="A534" s="248" t="s">
        <v>5</v>
      </c>
      <c r="B534" s="158">
        <f t="shared" si="1455"/>
        <v>3.2307309931525698</v>
      </c>
      <c r="C534" s="158">
        <f t="shared" si="1455"/>
        <v>3.518279345219006</v>
      </c>
      <c r="D534" s="158">
        <f t="shared" si="1455"/>
        <v>2.7876287426878137</v>
      </c>
      <c r="E534" s="158">
        <f t="shared" si="1455"/>
        <v>2.6989308518554531</v>
      </c>
      <c r="F534" s="158">
        <f t="shared" si="1455"/>
        <v>2.2056566031316009</v>
      </c>
      <c r="G534" s="158">
        <f t="shared" si="1455"/>
        <v>3.0201197269663487</v>
      </c>
      <c r="H534" s="158">
        <f t="shared" si="1465"/>
        <v>3.539704442766777</v>
      </c>
      <c r="I534" s="158">
        <f t="shared" si="1465"/>
        <v>3.6636113295250268</v>
      </c>
      <c r="J534" s="180">
        <f t="shared" si="1467"/>
        <v>3.416480594112949</v>
      </c>
      <c r="K534" s="180"/>
      <c r="L534" s="127"/>
      <c r="M534" s="2"/>
      <c r="N534" s="133" t="s">
        <v>5</v>
      </c>
      <c r="O534" s="158">
        <f t="shared" si="1458"/>
        <v>3.1253162149272025</v>
      </c>
      <c r="P534" s="158">
        <f t="shared" si="1458"/>
        <v>3.422170564965322</v>
      </c>
      <c r="Q534" s="158">
        <f t="shared" si="1458"/>
        <v>3.5215122754407866</v>
      </c>
      <c r="R534" s="158">
        <f t="shared" si="1458"/>
        <v>2.6852552207789153</v>
      </c>
      <c r="S534" s="158">
        <f t="shared" si="1458"/>
        <v>1.998991796235696</v>
      </c>
      <c r="T534" s="158">
        <f t="shared" si="1458"/>
        <v>2.5963877253380314</v>
      </c>
      <c r="U534" s="158">
        <f t="shared" si="1458"/>
        <v>3.0883163757815586</v>
      </c>
      <c r="V534" s="158">
        <f t="shared" si="1461"/>
        <v>3.4392335136355934</v>
      </c>
      <c r="W534" s="180">
        <f t="shared" si="1466"/>
        <v>3.4830776383469266</v>
      </c>
      <c r="X534" s="180"/>
      <c r="Y534" s="147"/>
      <c r="Z534" s="127"/>
    </row>
    <row r="535" spans="1:26" x14ac:dyDescent="0.25">
      <c r="A535" s="248" t="s">
        <v>6</v>
      </c>
      <c r="B535" s="158">
        <f t="shared" si="1455"/>
        <v>3.2085657719918452</v>
      </c>
      <c r="C535" s="158">
        <f t="shared" si="1455"/>
        <v>3.6340284382767836</v>
      </c>
      <c r="D535" s="158">
        <f t="shared" si="1455"/>
        <v>2.0912944452867657</v>
      </c>
      <c r="E535" s="158">
        <f t="shared" si="1455"/>
        <v>2.6537299625082795</v>
      </c>
      <c r="F535" s="158">
        <f t="shared" si="1455"/>
        <v>2.423358782901615</v>
      </c>
      <c r="G535" s="158">
        <f t="shared" si="1455"/>
        <v>3.2309113836203891</v>
      </c>
      <c r="H535" s="158">
        <f t="shared" si="1465"/>
        <v>3.2084403064440012</v>
      </c>
      <c r="I535" s="158">
        <f>+I356/I177</f>
        <v>3.6928112485889026</v>
      </c>
      <c r="J535" s="180">
        <f t="shared" si="1467"/>
        <v>3.6208513417358779</v>
      </c>
      <c r="K535" s="180"/>
      <c r="L535" s="127"/>
      <c r="M535" s="2"/>
      <c r="N535" s="133" t="s">
        <v>6</v>
      </c>
      <c r="O535" s="158">
        <f t="shared" si="1458"/>
        <v>3.1067057685697357</v>
      </c>
      <c r="P535" s="158">
        <f t="shared" si="1458"/>
        <v>3.464679698774646</v>
      </c>
      <c r="Q535" s="158">
        <f t="shared" si="1458"/>
        <v>3.2885057749139044</v>
      </c>
      <c r="R535" s="158">
        <f t="shared" si="1458"/>
        <v>2.7598983533845041</v>
      </c>
      <c r="S535" s="158">
        <f t="shared" si="1458"/>
        <v>1.9838177672666828</v>
      </c>
      <c r="T535" s="158">
        <f t="shared" si="1458"/>
        <v>2.669338224384755</v>
      </c>
      <c r="U535" s="158">
        <f t="shared" si="1458"/>
        <v>3.0851698794801576</v>
      </c>
      <c r="V535" s="158">
        <f t="shared" si="1461"/>
        <v>3.4936485643376045</v>
      </c>
      <c r="W535" s="180">
        <f t="shared" si="1466"/>
        <v>3.4768973856040986</v>
      </c>
      <c r="X535" s="180"/>
      <c r="Y535" s="147"/>
      <c r="Z535" s="127"/>
    </row>
    <row r="536" spans="1:26" x14ac:dyDescent="0.25">
      <c r="A536" s="248" t="s">
        <v>7</v>
      </c>
      <c r="B536" s="158">
        <f t="shared" si="1455"/>
        <v>3.2350689532611145</v>
      </c>
      <c r="C536" s="158">
        <f t="shared" si="1455"/>
        <v>3.7788150566793313</v>
      </c>
      <c r="D536" s="158">
        <f t="shared" si="1455"/>
        <v>2.3220924335577688</v>
      </c>
      <c r="E536" s="158">
        <f t="shared" si="1455"/>
        <v>2.3014868557790416</v>
      </c>
      <c r="F536" s="158">
        <f t="shared" si="1455"/>
        <v>2.1970771062573271</v>
      </c>
      <c r="G536" s="158">
        <f t="shared" si="1455"/>
        <v>2.9698411018480013</v>
      </c>
      <c r="H536" s="158">
        <f t="shared" si="1465"/>
        <v>3.3397722268217991</v>
      </c>
      <c r="I536" s="158">
        <f t="shared" si="1465"/>
        <v>3.4323803306666187</v>
      </c>
      <c r="J536" s="180">
        <f t="shared" si="1467"/>
        <v>3.7031391616184939</v>
      </c>
      <c r="K536" s="180"/>
      <c r="L536" s="127"/>
      <c r="M536" s="2"/>
      <c r="N536" s="133" t="s">
        <v>7</v>
      </c>
      <c r="O536" s="158">
        <f t="shared" si="1458"/>
        <v>3.0956259882973227</v>
      </c>
      <c r="P536" s="158">
        <f t="shared" si="1458"/>
        <v>3.5170733407417791</v>
      </c>
      <c r="Q536" s="158">
        <f t="shared" si="1458"/>
        <v>3.1260221212092714</v>
      </c>
      <c r="R536" s="158">
        <f t="shared" si="1458"/>
        <v>2.7629144494165452</v>
      </c>
      <c r="S536" s="158">
        <f t="shared" si="1458"/>
        <v>1.9771462817104928</v>
      </c>
      <c r="T536" s="158">
        <f t="shared" si="1458"/>
        <v>2.7462485570726587</v>
      </c>
      <c r="U536" s="158">
        <f t="shared" si="1458"/>
        <v>3.117370879374604</v>
      </c>
      <c r="V536" s="158">
        <f t="shared" si="1461"/>
        <v>3.5056031453119791</v>
      </c>
      <c r="W536" s="180">
        <f t="shared" si="1461"/>
        <v>3.5004772606965355</v>
      </c>
      <c r="X536" s="180"/>
      <c r="Y536" s="147"/>
      <c r="Z536" s="127"/>
    </row>
    <row r="537" spans="1:26" x14ac:dyDescent="0.25">
      <c r="A537" s="248" t="s">
        <v>8</v>
      </c>
      <c r="B537" s="158">
        <f t="shared" ref="B537:G539" si="1468">+B358/B179</f>
        <v>3.451864781594792</v>
      </c>
      <c r="C537" s="158">
        <f t="shared" si="1468"/>
        <v>3.7550910053321873</v>
      </c>
      <c r="D537" s="158">
        <f t="shared" si="1468"/>
        <v>2.9336146395139475</v>
      </c>
      <c r="E537" s="158">
        <f t="shared" si="1468"/>
        <v>2.4619622158145229</v>
      </c>
      <c r="F537" s="158">
        <f t="shared" si="1468"/>
        <v>2.2571046487475823</v>
      </c>
      <c r="G537" s="158">
        <f t="shared" si="1468"/>
        <v>2.8287561865909407</v>
      </c>
      <c r="H537" s="158">
        <f t="shared" si="1465"/>
        <v>3.2033206612894949</v>
      </c>
      <c r="I537" s="158">
        <f t="shared" si="1465"/>
        <v>3.5515308624435531</v>
      </c>
      <c r="J537" s="180">
        <f t="shared" si="1467"/>
        <v>3.4028702559629354</v>
      </c>
      <c r="K537" s="180"/>
      <c r="L537" s="127"/>
      <c r="M537" s="2"/>
      <c r="N537" s="133" t="s">
        <v>8</v>
      </c>
      <c r="O537" s="158">
        <f t="shared" ref="O537:S539" si="1469">+O358/O179</f>
        <v>3.1326478118379768</v>
      </c>
      <c r="P537" s="158">
        <f t="shared" si="1469"/>
        <v>3.5405645873210809</v>
      </c>
      <c r="Q537" s="158">
        <f t="shared" si="1469"/>
        <v>3.0679640634576399</v>
      </c>
      <c r="R537" s="158">
        <f t="shared" si="1469"/>
        <v>2.7219183258873105</v>
      </c>
      <c r="S537" s="158">
        <f t="shared" si="1469"/>
        <v>1.9690903381684712</v>
      </c>
      <c r="T537" s="158">
        <f t="shared" ref="T537:U537" si="1470">+T358/T179</f>
        <v>2.8099662469860056</v>
      </c>
      <c r="U537" s="158">
        <f t="shared" si="1470"/>
        <v>3.152563352759568</v>
      </c>
      <c r="V537" s="158">
        <f t="shared" si="1461"/>
        <v>3.5359448809864027</v>
      </c>
      <c r="W537" s="180">
        <f t="shared" si="1461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468"/>
        <v>3.2079792917797469</v>
      </c>
      <c r="C538" s="158">
        <f t="shared" si="1468"/>
        <v>3.7807428972121766</v>
      </c>
      <c r="D538" s="158">
        <f t="shared" si="1468"/>
        <v>2.8909105502925798</v>
      </c>
      <c r="E538" s="158">
        <f t="shared" si="1468"/>
        <v>1.9320398234191591</v>
      </c>
      <c r="F538" s="158">
        <f t="shared" si="1468"/>
        <v>2.328617554162479</v>
      </c>
      <c r="G538" s="158">
        <f t="shared" si="1468"/>
        <v>2.9048058568534421</v>
      </c>
      <c r="H538" s="158">
        <f t="shared" si="1465"/>
        <v>3.364551827090994</v>
      </c>
      <c r="I538" s="158">
        <f t="shared" si="1465"/>
        <v>3.2610254129585909</v>
      </c>
      <c r="J538" s="180">
        <f t="shared" si="1467"/>
        <v>3.2743205950843834</v>
      </c>
      <c r="K538" s="180"/>
      <c r="L538" s="127"/>
      <c r="M538" s="2"/>
      <c r="N538" s="133" t="s">
        <v>9</v>
      </c>
      <c r="O538" s="158">
        <f t="shared" si="1469"/>
        <v>3.1506297529630811</v>
      </c>
      <c r="P538" s="158">
        <f t="shared" si="1469"/>
        <v>3.5908479025649171</v>
      </c>
      <c r="Q538" s="158">
        <f t="shared" si="1469"/>
        <v>3.0046841701506573</v>
      </c>
      <c r="R538" s="158">
        <f t="shared" si="1469"/>
        <v>2.6113371125263232</v>
      </c>
      <c r="S538" s="158">
        <f t="shared" si="1469"/>
        <v>1.9960600517643583</v>
      </c>
      <c r="T538" s="158">
        <f t="shared" ref="T538:U538" si="1471">+T359/T180</f>
        <v>2.8603915161493441</v>
      </c>
      <c r="U538" s="158">
        <f t="shared" si="1471"/>
        <v>3.1911459941593447</v>
      </c>
      <c r="V538" s="158">
        <f t="shared" si="1461"/>
        <v>3.5260225772015437</v>
      </c>
      <c r="W538" s="180">
        <f t="shared" si="1461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468"/>
        <v>3.1506297529630811</v>
      </c>
      <c r="C539" s="182">
        <f t="shared" si="1468"/>
        <v>3.5908479025649171</v>
      </c>
      <c r="D539" s="182">
        <f t="shared" si="1468"/>
        <v>3.0046841701506573</v>
      </c>
      <c r="E539" s="182">
        <f t="shared" si="1468"/>
        <v>2.6113371125263232</v>
      </c>
      <c r="F539" s="182">
        <f t="shared" si="1468"/>
        <v>1.9960600517643583</v>
      </c>
      <c r="G539" s="182">
        <f t="shared" ref="G539:I539" si="1472">+G360/G181</f>
        <v>2.8603915161493441</v>
      </c>
      <c r="H539" s="182">
        <f t="shared" si="1472"/>
        <v>3.1911459941593447</v>
      </c>
      <c r="I539" s="182">
        <f t="shared" si="1472"/>
        <v>3.5260225772015437</v>
      </c>
      <c r="J539" s="183">
        <f t="shared" ref="J539" si="1473">+J360/J181</f>
        <v>3.4875722928967665</v>
      </c>
      <c r="K539" s="183"/>
      <c r="L539" s="137"/>
      <c r="M539" s="3"/>
      <c r="N539" s="134" t="s">
        <v>14</v>
      </c>
      <c r="O539" s="182">
        <f t="shared" si="1469"/>
        <v>3.1084933513432818</v>
      </c>
      <c r="P539" s="182">
        <f t="shared" si="1469"/>
        <v>3.3695327473848078</v>
      </c>
      <c r="Q539" s="182">
        <f t="shared" si="1469"/>
        <v>3.4376606321711769</v>
      </c>
      <c r="R539" s="182">
        <f t="shared" si="1469"/>
        <v>2.7576199456022792</v>
      </c>
      <c r="S539" s="182">
        <f t="shared" si="1469"/>
        <v>2.1104657556100164</v>
      </c>
      <c r="T539" s="182">
        <f>+T360/T181</f>
        <v>2.4725936032213358</v>
      </c>
      <c r="U539" s="182">
        <f t="shared" ref="U539:V539" si="1474">+U360/U181</f>
        <v>3.0243587503800731</v>
      </c>
      <c r="V539" s="182">
        <f t="shared" si="1474"/>
        <v>3.3947342765547353</v>
      </c>
      <c r="W539" s="183">
        <f>+W360/W181</f>
        <v>3.5074202543131032</v>
      </c>
      <c r="X539" s="183">
        <f>+X360/X181</f>
        <v>3.493891365525458</v>
      </c>
      <c r="Y539" s="149">
        <f>+X539/W539-1</f>
        <v>-3.857219211472751E-3</v>
      </c>
      <c r="Z539" s="156">
        <f>+POWER(X539/S539,0.2)-1</f>
        <v>0.10607917996321103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475">+D539/C539-1</f>
        <v>-0.16323825133210668</v>
      </c>
      <c r="E540" s="151">
        <f t="shared" si="1475"/>
        <v>-0.13091128230113158</v>
      </c>
      <c r="F540" s="151">
        <f t="shared" si="1475"/>
        <v>-0.23561762968501554</v>
      </c>
      <c r="G540" s="200">
        <f t="shared" si="1475"/>
        <v>0.43301876795790051</v>
      </c>
      <c r="H540" s="200">
        <f t="shared" si="1475"/>
        <v>0.1156325895048318</v>
      </c>
      <c r="I540" s="200">
        <f t="shared" si="1475"/>
        <v>0.10493928627994875</v>
      </c>
      <c r="J540" s="201">
        <f t="shared" si="1475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476">+Q539/P539-1</f>
        <v>2.0218792899177274E-2</v>
      </c>
      <c r="R540" s="142">
        <f t="shared" si="1476"/>
        <v>-0.19782077387301433</v>
      </c>
      <c r="S540" s="142">
        <f t="shared" si="1476"/>
        <v>-0.23467852813594325</v>
      </c>
      <c r="T540" s="142">
        <f t="shared" si="1476"/>
        <v>0.17158669675104421</v>
      </c>
      <c r="U540" s="142">
        <f t="shared" si="1476"/>
        <v>0.22315237993008163</v>
      </c>
      <c r="V540" s="142">
        <f t="shared" si="1476"/>
        <v>0.12246415083135131</v>
      </c>
      <c r="W540" s="143">
        <f t="shared" si="1476"/>
        <v>3.3194344116008745E-2</v>
      </c>
      <c r="X540" s="143">
        <f t="shared" si="1476"/>
        <v>-3.857219211472751E-3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34"/>
  <sheetViews>
    <sheetView workbookViewId="0">
      <selection activeCell="X64" sqref="X64:Z64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31" t="s">
        <v>207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18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3.5" thickBot="1" x14ac:dyDescent="0.3"/>
    <row r="5" spans="1:28" ht="15.75" customHeight="1" thickBot="1" x14ac:dyDescent="0.3">
      <c r="A5" s="325" t="s">
        <v>208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N5" s="325" t="s">
        <v>209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2">+SUM(C7)+SUM(B8:B18)</f>
        <v>242.71960999999996</v>
      </c>
      <c r="Q7" s="6">
        <f t="shared" si="2"/>
        <v>216.37679999999997</v>
      </c>
      <c r="R7" s="6">
        <f t="shared" si="2"/>
        <v>276.50689999999997</v>
      </c>
      <c r="S7" s="6">
        <f t="shared" si="2"/>
        <v>328.23009999999999</v>
      </c>
      <c r="T7" s="6">
        <f t="shared" si="2"/>
        <v>371.92289999999997</v>
      </c>
      <c r="U7" s="6">
        <f t="shared" si="2"/>
        <v>317.0804</v>
      </c>
      <c r="V7" s="6">
        <f t="shared" si="2"/>
        <v>298.56370000000004</v>
      </c>
      <c r="W7" s="67">
        <f t="shared" si="2"/>
        <v>242.49720000000002</v>
      </c>
      <c r="X7" s="37">
        <f t="shared" si="2"/>
        <v>249.21429999999995</v>
      </c>
      <c r="Y7" s="78">
        <f>+X7/W7-1</f>
        <v>2.7699701274900956E-2</v>
      </c>
      <c r="Z7" s="7">
        <f>+POWER(X7/S7,0.2)-1</f>
        <v>-5.3590893002021023E-2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>+K8/J8-1</f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3">+SUM(C7:C8)+SUM(B9:B18)</f>
        <v>239.05143899999996</v>
      </c>
      <c r="Q8" s="6">
        <f t="shared" si="3"/>
        <v>217.96370000000002</v>
      </c>
      <c r="R8" s="6">
        <f t="shared" si="3"/>
        <v>280.13379999999995</v>
      </c>
      <c r="S8" s="6">
        <f t="shared" si="3"/>
        <v>347.98239999999998</v>
      </c>
      <c r="T8" s="6">
        <f t="shared" si="3"/>
        <v>357.02520000000004</v>
      </c>
      <c r="U8" s="6">
        <f t="shared" si="3"/>
        <v>316.17169999999999</v>
      </c>
      <c r="V8" s="6">
        <f t="shared" si="3"/>
        <v>293.46120000000002</v>
      </c>
      <c r="W8" s="67">
        <f t="shared" si="3"/>
        <v>242.065</v>
      </c>
      <c r="X8" s="37">
        <f t="shared" si="3"/>
        <v>249.05199999999996</v>
      </c>
      <c r="Y8" s="78">
        <f>+X8/W8-1</f>
        <v>2.8864148059405403E-2</v>
      </c>
      <c r="Z8" s="7">
        <f>+POWER(X8/S8,0.2)-1</f>
        <v>-6.4709440135735097E-2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>+K9/J9-1</f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4">+SUM(C7:C9)+SUM(B10:B18)</f>
        <v>236.82714699999997</v>
      </c>
      <c r="Q9" s="6">
        <f t="shared" si="4"/>
        <v>218.16329999999999</v>
      </c>
      <c r="R9" s="6">
        <f t="shared" si="4"/>
        <v>284.98919999999998</v>
      </c>
      <c r="S9" s="6">
        <f t="shared" si="4"/>
        <v>356.80079999999998</v>
      </c>
      <c r="T9" s="6">
        <f t="shared" si="4"/>
        <v>353.20680000000004</v>
      </c>
      <c r="U9" s="6">
        <f t="shared" si="4"/>
        <v>316.07059999999996</v>
      </c>
      <c r="V9" s="6">
        <f t="shared" si="4"/>
        <v>286.62639999999999</v>
      </c>
      <c r="W9" s="67">
        <f t="shared" si="4"/>
        <v>240.17929999999998</v>
      </c>
      <c r="X9" s="37">
        <f t="shared" si="4"/>
        <v>250.84719999999996</v>
      </c>
      <c r="Y9" s="78">
        <f>+X9/W9-1</f>
        <v>4.4416400580732818E-2</v>
      </c>
      <c r="Z9" s="7">
        <f>+POWER(X9/S9,0.2)-1</f>
        <v>-6.8041255474967977E-2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>+K10/J10-1</f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5">+SUM(C7:C10)+SUM(B11:B18)</f>
        <v>232.673868</v>
      </c>
      <c r="Q10" s="6">
        <f t="shared" si="5"/>
        <v>220.02089999999998</v>
      </c>
      <c r="R10" s="6">
        <f t="shared" si="5"/>
        <v>287.78309999999999</v>
      </c>
      <c r="S10" s="6">
        <f t="shared" si="5"/>
        <v>362.33339999999998</v>
      </c>
      <c r="T10" s="6">
        <f t="shared" si="5"/>
        <v>357.07450000000006</v>
      </c>
      <c r="U10" s="6">
        <f t="shared" si="5"/>
        <v>310.78249999999997</v>
      </c>
      <c r="V10" s="6">
        <f t="shared" si="5"/>
        <v>279.96639999999996</v>
      </c>
      <c r="W10" s="67">
        <f t="shared" si="5"/>
        <v>242.50169999999997</v>
      </c>
      <c r="X10" s="37">
        <f t="shared" si="5"/>
        <v>253.43829999999997</v>
      </c>
      <c r="Y10" s="78">
        <f>+X10/W10-1</f>
        <v>4.5099065284903261E-2</v>
      </c>
      <c r="Z10" s="7">
        <f>+POWER(X10/S10,0.2)-1</f>
        <v>-6.8993366232471875E-2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28.535</v>
      </c>
      <c r="K11" s="37"/>
      <c r="L11" s="7"/>
      <c r="N11" s="42" t="s">
        <v>2</v>
      </c>
      <c r="O11" s="6">
        <f>+'Despacho por tipo'!O11+'Exportación por tipo'!O11</f>
        <v>256.92228</v>
      </c>
      <c r="P11" s="6">
        <f t="shared" ref="P11:W11" si="6">+SUM(C7:C11)+SUM(B12:B18)</f>
        <v>228.76823100000001</v>
      </c>
      <c r="Q11" s="6">
        <f t="shared" si="6"/>
        <v>220.51130000000001</v>
      </c>
      <c r="R11" s="6">
        <f t="shared" si="6"/>
        <v>294.79199999999997</v>
      </c>
      <c r="S11" s="6">
        <f t="shared" si="6"/>
        <v>369.78539999999998</v>
      </c>
      <c r="T11" s="6">
        <f t="shared" si="6"/>
        <v>353.81979999999999</v>
      </c>
      <c r="U11" s="6">
        <f t="shared" si="6"/>
        <v>307.70559999999995</v>
      </c>
      <c r="V11" s="6">
        <f t="shared" si="6"/>
        <v>276.10059999999999</v>
      </c>
      <c r="W11" s="67">
        <f t="shared" si="6"/>
        <v>249.37729999999999</v>
      </c>
      <c r="X11" s="37"/>
      <c r="Y11" s="78"/>
      <c r="Z11" s="7"/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17.378900000000002</v>
      </c>
      <c r="K12" s="37"/>
      <c r="L12" s="7"/>
      <c r="N12" s="42" t="s">
        <v>3</v>
      </c>
      <c r="O12" s="6">
        <f>+'Despacho por tipo'!O12+'Exportación por tipo'!O12</f>
        <v>251.05581599999999</v>
      </c>
      <c r="P12" s="6">
        <f t="shared" ref="P12:W12" si="7">+SUM(C7:C12)+SUM(B13:B18)</f>
        <v>228.98920699999999</v>
      </c>
      <c r="Q12" s="6">
        <f t="shared" si="7"/>
        <v>219.249</v>
      </c>
      <c r="R12" s="6">
        <f t="shared" si="7"/>
        <v>301.13660000000004</v>
      </c>
      <c r="S12" s="6">
        <f t="shared" si="7"/>
        <v>376.19450000000001</v>
      </c>
      <c r="T12" s="6">
        <f t="shared" si="7"/>
        <v>355.67570000000001</v>
      </c>
      <c r="U12" s="6">
        <f t="shared" si="7"/>
        <v>305.02179999999998</v>
      </c>
      <c r="V12" s="6">
        <f t="shared" si="7"/>
        <v>265.04499999999996</v>
      </c>
      <c r="W12" s="67">
        <f t="shared" si="7"/>
        <v>247.517</v>
      </c>
      <c r="X12" s="37"/>
      <c r="Y12" s="78"/>
      <c r="Z12" s="7"/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/>
      <c r="L13" s="7"/>
      <c r="N13" s="42" t="s">
        <v>4</v>
      </c>
      <c r="O13" s="6">
        <f>+'Despacho por tipo'!O13+'Exportación por tipo'!O13</f>
        <v>248.07051100000001</v>
      </c>
      <c r="P13" s="6">
        <f t="shared" ref="P13:W13" si="8">+SUM(C7:C13)+SUM(B14:B18)</f>
        <v>228.80271099999999</v>
      </c>
      <c r="Q13" s="6">
        <f t="shared" si="8"/>
        <v>220.20339999999999</v>
      </c>
      <c r="R13" s="6">
        <f t="shared" si="8"/>
        <v>306.64980000000003</v>
      </c>
      <c r="S13" s="6">
        <f t="shared" si="8"/>
        <v>383.93110000000001</v>
      </c>
      <c r="T13" s="6">
        <f t="shared" si="8"/>
        <v>347.1277</v>
      </c>
      <c r="U13" s="6">
        <f t="shared" si="8"/>
        <v>305.80089999999996</v>
      </c>
      <c r="V13" s="6">
        <f t="shared" si="8"/>
        <v>258.98840000000001</v>
      </c>
      <c r="W13" s="67">
        <f t="shared" si="8"/>
        <v>250.63889999999998</v>
      </c>
      <c r="X13" s="37"/>
      <c r="Y13" s="78"/>
      <c r="Z13" s="7"/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/>
      <c r="L14" s="7"/>
      <c r="N14" s="42" t="s">
        <v>5</v>
      </c>
      <c r="O14" s="6">
        <f>+'Despacho por tipo'!O14+'Exportación por tipo'!O14</f>
        <v>254.76264800000001</v>
      </c>
      <c r="P14" s="6">
        <f t="shared" ref="P14:W14" si="9">+SUM(C7:C14)+SUM(B15:B18)</f>
        <v>222.57198</v>
      </c>
      <c r="Q14" s="6">
        <f t="shared" si="9"/>
        <v>232.14499999999998</v>
      </c>
      <c r="R14" s="6">
        <f t="shared" si="9"/>
        <v>300.84460000000001</v>
      </c>
      <c r="S14" s="6">
        <f t="shared" si="9"/>
        <v>387.5059</v>
      </c>
      <c r="T14" s="6">
        <f t="shared" si="9"/>
        <v>344.6019</v>
      </c>
      <c r="U14" s="6">
        <f t="shared" si="9"/>
        <v>305.75639999999999</v>
      </c>
      <c r="V14" s="6">
        <f t="shared" si="9"/>
        <v>253.39280000000002</v>
      </c>
      <c r="W14" s="67">
        <f t="shared" si="9"/>
        <v>250.44049999999999</v>
      </c>
      <c r="X14" s="37"/>
      <c r="Y14" s="78"/>
      <c r="Z14" s="7"/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/>
      <c r="L15" s="7"/>
      <c r="N15" s="42" t="s">
        <v>6</v>
      </c>
      <c r="O15" s="6">
        <f>+'Despacho por tipo'!O15+'Exportación por tipo'!O15</f>
        <v>256.96252599999997</v>
      </c>
      <c r="P15" s="6">
        <f t="shared" ref="P15:W15" si="10">+SUM(C7:C15)+SUM(B16:B18)</f>
        <v>216.57271300000002</v>
      </c>
      <c r="Q15" s="6">
        <f t="shared" si="10"/>
        <v>248.49280000000002</v>
      </c>
      <c r="R15" s="6">
        <f t="shared" si="10"/>
        <v>294.15319999999997</v>
      </c>
      <c r="S15" s="6">
        <f t="shared" si="10"/>
        <v>392.42160000000001</v>
      </c>
      <c r="T15" s="6">
        <f t="shared" si="10"/>
        <v>335.2011</v>
      </c>
      <c r="U15" s="6">
        <f t="shared" si="10"/>
        <v>309.23149999999998</v>
      </c>
      <c r="V15" s="6">
        <f t="shared" si="10"/>
        <v>249.428</v>
      </c>
      <c r="W15" s="67">
        <f t="shared" si="10"/>
        <v>250.68339999999995</v>
      </c>
      <c r="X15" s="37"/>
      <c r="Y15" s="78"/>
      <c r="Z15" s="7"/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/>
      <c r="L16" s="7"/>
      <c r="N16" s="42" t="s">
        <v>7</v>
      </c>
      <c r="O16" s="6">
        <f>+'Despacho por tipo'!O16+'Exportación por tipo'!O16</f>
        <v>254.56652800000001</v>
      </c>
      <c r="P16" s="6">
        <f t="shared" ref="P16:W16" si="11">+SUM(C7:C16)+SUM(B17:B18)</f>
        <v>216.51031300000002</v>
      </c>
      <c r="Q16" s="6">
        <f t="shared" si="11"/>
        <v>258.38189999999997</v>
      </c>
      <c r="R16" s="6">
        <f t="shared" si="11"/>
        <v>293.4692</v>
      </c>
      <c r="S16" s="6">
        <f t="shared" si="11"/>
        <v>391.18510000000003</v>
      </c>
      <c r="T16" s="6">
        <f t="shared" si="11"/>
        <v>327.74880000000007</v>
      </c>
      <c r="U16" s="6">
        <f t="shared" si="11"/>
        <v>310.88119999999998</v>
      </c>
      <c r="V16" s="6">
        <f t="shared" si="11"/>
        <v>247.834</v>
      </c>
      <c r="W16" s="67">
        <f t="shared" si="11"/>
        <v>247.64169999999996</v>
      </c>
      <c r="X16" s="37"/>
      <c r="Y16" s="78"/>
      <c r="Z16" s="7"/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12">+SUM(C7:C17)+SUM(B18)</f>
        <v>217.13491300000001</v>
      </c>
      <c r="Q17" s="6">
        <f t="shared" si="12"/>
        <v>260.02699999999999</v>
      </c>
      <c r="R17" s="6">
        <f t="shared" si="12"/>
        <v>300.05849999999998</v>
      </c>
      <c r="S17" s="6">
        <f t="shared" si="12"/>
        <v>395.74090000000001</v>
      </c>
      <c r="T17" s="6">
        <f t="shared" si="12"/>
        <v>321.90080000000006</v>
      </c>
      <c r="U17" s="6">
        <f t="shared" si="12"/>
        <v>308.47529999999995</v>
      </c>
      <c r="V17" s="6">
        <f t="shared" si="12"/>
        <v>244.93259999999998</v>
      </c>
      <c r="W17" s="67">
        <f t="shared" si="12"/>
        <v>246.98389999999995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13">+SUM(C7:C18)</f>
        <v>216.28321300000002</v>
      </c>
      <c r="Q18" s="6">
        <f t="shared" si="13"/>
        <v>266.29430000000002</v>
      </c>
      <c r="R18" s="6">
        <f t="shared" si="13"/>
        <v>314.29649999999998</v>
      </c>
      <c r="S18" s="6">
        <f t="shared" si="13"/>
        <v>386.33510000000001</v>
      </c>
      <c r="T18" s="6">
        <f t="shared" si="13"/>
        <v>320.22170000000006</v>
      </c>
      <c r="U18" s="6">
        <f t="shared" si="13"/>
        <v>301.63689999999997</v>
      </c>
      <c r="V18" s="6">
        <f t="shared" si="13"/>
        <v>245.02979999999999</v>
      </c>
      <c r="W18" s="67">
        <f t="shared" si="13"/>
        <v>246.27299999999994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14">SUM(C7:C18)</f>
        <v>216.28321300000002</v>
      </c>
      <c r="D19" s="54">
        <f t="shared" si="14"/>
        <v>266.29430000000002</v>
      </c>
      <c r="E19" s="54">
        <f t="shared" si="14"/>
        <v>314.29649999999998</v>
      </c>
      <c r="F19" s="54">
        <f t="shared" si="14"/>
        <v>386.33510000000001</v>
      </c>
      <c r="G19" s="54">
        <f t="shared" ref="G19" si="15">SUM(G7:G18)</f>
        <v>320.22170000000006</v>
      </c>
      <c r="H19" s="54">
        <f t="shared" ref="H19" si="16">SUM(H7:H18)</f>
        <v>301.63689999999997</v>
      </c>
      <c r="I19" s="54">
        <f t="shared" ref="I19:J19" si="17">SUM(I7:I18)</f>
        <v>245.02979999999999</v>
      </c>
      <c r="J19" s="186">
        <f t="shared" si="17"/>
        <v>246.27299999999994</v>
      </c>
      <c r="K19" s="55"/>
      <c r="L19" s="56"/>
      <c r="M19" s="3"/>
      <c r="N19" s="43" t="s">
        <v>14</v>
      </c>
      <c r="O19" s="46">
        <f t="shared" ref="O19" si="18">+AVERAGE(O7:O18)</f>
        <v>253.72953974999996</v>
      </c>
      <c r="P19" s="46">
        <f>+AVERAGE(P7:P18)</f>
        <v>227.24211208333335</v>
      </c>
      <c r="Q19" s="46">
        <f t="shared" ref="Q19:T19" si="19">+AVERAGE(Q7:Q18)</f>
        <v>233.15245000000002</v>
      </c>
      <c r="R19" s="46">
        <f t="shared" si="19"/>
        <v>294.56778333333335</v>
      </c>
      <c r="S19" s="46">
        <f t="shared" si="19"/>
        <v>373.20385833333336</v>
      </c>
      <c r="T19" s="46">
        <f t="shared" si="19"/>
        <v>345.46057500000006</v>
      </c>
      <c r="U19" s="46">
        <f t="shared" ref="U19:V19" si="20">+AVERAGE(U7:U18)</f>
        <v>309.5512333333333</v>
      </c>
      <c r="V19" s="46">
        <f t="shared" si="20"/>
        <v>266.61407499999996</v>
      </c>
      <c r="W19" s="68">
        <f t="shared" ref="W19:X19" si="21">+AVERAGE(W7:W18)</f>
        <v>246.39990833333331</v>
      </c>
      <c r="X19" s="47">
        <f t="shared" si="21"/>
        <v>250.63794999999993</v>
      </c>
      <c r="Y19" s="79">
        <f>+W19/V19-1</f>
        <v>-7.5818077746520496E-2</v>
      </c>
      <c r="Z19" s="75">
        <f>+POWER(W19/R19,0.2)-1</f>
        <v>-3.5080553462908282E-2</v>
      </c>
    </row>
    <row r="20" spans="1:26" ht="25.5" x14ac:dyDescent="0.25">
      <c r="A20" s="57" t="s">
        <v>15</v>
      </c>
      <c r="B20" s="58">
        <f t="shared" ref="B20:G20" si="22">+B19/B$73</f>
        <v>0.20362580154015381</v>
      </c>
      <c r="C20" s="58">
        <f t="shared" si="22"/>
        <v>0.19384303249600926</v>
      </c>
      <c r="D20" s="58">
        <f t="shared" si="22"/>
        <v>0.23883768672094133</v>
      </c>
      <c r="E20" s="58">
        <f t="shared" si="22"/>
        <v>0.26240985770347658</v>
      </c>
      <c r="F20" s="58">
        <f t="shared" si="22"/>
        <v>0.28877999183895026</v>
      </c>
      <c r="G20" s="58">
        <f t="shared" si="22"/>
        <v>0.27267038445110969</v>
      </c>
      <c r="H20" s="58">
        <f t="shared" ref="H20" si="23">+H19/H$73</f>
        <v>0.27600288376749821</v>
      </c>
      <c r="I20" s="58">
        <f t="shared" ref="I20:J20" si="24">+I19/I$73</f>
        <v>0.25054135914324865</v>
      </c>
      <c r="J20" s="189">
        <f t="shared" si="24"/>
        <v>0.25315192536788517</v>
      </c>
      <c r="K20" s="188"/>
      <c r="L20" s="59"/>
      <c r="M20" s="3"/>
      <c r="N20" s="44" t="s">
        <v>15</v>
      </c>
      <c r="O20" s="48">
        <f t="shared" ref="O20:T20" si="25">+O19/O$73</f>
        <v>0.20448274983124032</v>
      </c>
      <c r="P20" s="48">
        <f t="shared" si="25"/>
        <v>0.19721160662845871</v>
      </c>
      <c r="Q20" s="48">
        <f t="shared" si="25"/>
        <v>0.21050471281302116</v>
      </c>
      <c r="R20" s="48">
        <f t="shared" si="25"/>
        <v>0.2551502302446364</v>
      </c>
      <c r="S20" s="48">
        <f t="shared" si="25"/>
        <v>0.2876536623535485</v>
      </c>
      <c r="T20" s="48">
        <f t="shared" si="25"/>
        <v>0.27930468212537368</v>
      </c>
      <c r="U20" s="48">
        <f t="shared" ref="U20:V20" si="26">+U19/U$73</f>
        <v>0.270816316856482</v>
      </c>
      <c r="V20" s="48">
        <f t="shared" si="26"/>
        <v>0.26233464491544695</v>
      </c>
      <c r="W20" s="69">
        <f t="shared" ref="W20:X20" si="27">+W19/W$73</f>
        <v>0.25407896512009637</v>
      </c>
      <c r="X20" s="72">
        <f t="shared" si="27"/>
        <v>0.25594346243548216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28">+D19/C19-1</f>
        <v>0.23122962853339901</v>
      </c>
      <c r="E21" s="62">
        <f t="shared" si="28"/>
        <v>0.18025996050234627</v>
      </c>
      <c r="F21" s="62">
        <f t="shared" si="28"/>
        <v>0.22920586134430398</v>
      </c>
      <c r="G21" s="62">
        <f t="shared" si="28"/>
        <v>-0.17112967473056406</v>
      </c>
      <c r="H21" s="62">
        <f t="shared" si="28"/>
        <v>-5.8037291039302108E-2</v>
      </c>
      <c r="I21" s="62">
        <f t="shared" si="28"/>
        <v>-0.18766636310080098</v>
      </c>
      <c r="J21" s="190">
        <f t="shared" si="28"/>
        <v>5.0736685905141687E-3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29">+Q19/P19-1</f>
        <v>2.6008990422071276E-2</v>
      </c>
      <c r="R21" s="50">
        <f t="shared" si="29"/>
        <v>0.26341277277306463</v>
      </c>
      <c r="S21" s="50">
        <f t="shared" si="29"/>
        <v>0.26695409155119765</v>
      </c>
      <c r="T21" s="50">
        <f t="shared" si="29"/>
        <v>-7.4338147138216071E-2</v>
      </c>
      <c r="U21" s="50">
        <f t="shared" si="29"/>
        <v>-0.10394628002534512</v>
      </c>
      <c r="V21" s="50">
        <f t="shared" si="29"/>
        <v>-0.1387077604924204</v>
      </c>
      <c r="W21" s="70">
        <f t="shared" si="29"/>
        <v>-7.5818077746520496E-2</v>
      </c>
      <c r="X21" s="73">
        <f t="shared" si="29"/>
        <v>1.7199850825160734E-2</v>
      </c>
      <c r="Y21" s="51"/>
      <c r="Z21" s="52"/>
    </row>
    <row r="22" spans="1:26" ht="13.5" thickBot="1" x14ac:dyDescent="0.3"/>
    <row r="23" spans="1:26" ht="13.5" thickBot="1" x14ac:dyDescent="0.3">
      <c r="A23" s="325" t="s">
        <v>210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N23" s="325" t="s">
        <v>211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30">+C24+1</f>
        <v>2018</v>
      </c>
      <c r="E24" s="39">
        <f t="shared" si="30"/>
        <v>2019</v>
      </c>
      <c r="F24" s="39">
        <f t="shared" si="30"/>
        <v>2020</v>
      </c>
      <c r="G24" s="39">
        <f t="shared" si="30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31">+P24+1</f>
        <v>2018</v>
      </c>
      <c r="R24" s="64">
        <f t="shared" si="31"/>
        <v>2019</v>
      </c>
      <c r="S24" s="64">
        <f t="shared" si="31"/>
        <v>2020</v>
      </c>
      <c r="T24" s="64">
        <f t="shared" ref="T24" si="32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33">+SUM(D25)+SUM(C26:C36)</f>
        <v>849.6613000000001</v>
      </c>
      <c r="R25" s="6">
        <f t="shared" ref="R25:X25" si="34">+SUM(E25)+SUM(D26:D36)</f>
        <v>810.61650000000009</v>
      </c>
      <c r="S25" s="6">
        <f t="shared" si="34"/>
        <v>859.15809999999999</v>
      </c>
      <c r="T25" s="6">
        <f t="shared" si="34"/>
        <v>908.15579999999989</v>
      </c>
      <c r="U25" s="6">
        <f t="shared" si="34"/>
        <v>800.57399999999984</v>
      </c>
      <c r="V25" s="6">
        <f t="shared" si="34"/>
        <v>738.7002</v>
      </c>
      <c r="W25" s="67">
        <f t="shared" si="34"/>
        <v>684.07990000000018</v>
      </c>
      <c r="X25" s="37">
        <f t="shared" si="34"/>
        <v>691.52869999999984</v>
      </c>
      <c r="Y25" s="78">
        <f t="shared" ref="Y25:Y26" si="35">+X25/W25-1</f>
        <v>1.0888786529175354E-2</v>
      </c>
      <c r="Z25" s="7">
        <f t="shared" ref="Z25:Z26" si="36">+POWER(X25/S25,0.2)-1</f>
        <v>-4.2480947937769908E-2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>+K26/J26-1</f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37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38">+SUM(I25:I26)+SUM(H27:H36)</f>
        <v>730.26429999999993</v>
      </c>
      <c r="W26" s="67">
        <f t="shared" ref="W26:X26" si="39">+SUM(J25:J26)+SUM(I27:I36)</f>
        <v>685.13520000000005</v>
      </c>
      <c r="X26" s="37">
        <f t="shared" si="39"/>
        <v>694.56029999999998</v>
      </c>
      <c r="Y26" s="78">
        <f t="shared" si="35"/>
        <v>1.3756554910621999E-2</v>
      </c>
      <c r="Z26" s="7">
        <f t="shared" si="36"/>
        <v>-4.3040994314720638E-2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>+K27/J27-1</f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40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41">+SUM(I25:I27)+SUM(H28:H36)</f>
        <v>716.51830000000007</v>
      </c>
      <c r="W27" s="67">
        <f t="shared" ref="W27" si="42">+SUM(J25:J27)+SUM(I28:I36)</f>
        <v>681.077</v>
      </c>
      <c r="X27" s="37">
        <f t="shared" ref="X27" si="43">+SUM(K25:K27)+SUM(J28:J36)</f>
        <v>693.67870000000005</v>
      </c>
      <c r="Y27" s="78">
        <f>+X27/W27-1</f>
        <v>1.8502606900541396E-2</v>
      </c>
      <c r="Z27" s="7">
        <f>+POWER(X27/S27,0.2)-1</f>
        <v>-4.2135316894603259E-2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>+K28/J28-1</f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44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45">+SUM(I25:I28)+SUM(H29:H36)</f>
        <v>710.0277000000001</v>
      </c>
      <c r="W28" s="67">
        <f t="shared" ref="W28" si="46">+SUM(J25:J28)+SUM(I29:I36)</f>
        <v>677.49340000000007</v>
      </c>
      <c r="X28" s="37">
        <f t="shared" ref="X28" si="47">+SUM(K25:K28)+SUM(J29:J36)</f>
        <v>691.86860000000001</v>
      </c>
      <c r="Y28" s="78">
        <f>+X28/W28-1</f>
        <v>2.1218214081494935E-2</v>
      </c>
      <c r="Z28" s="7">
        <f>+POWER(X28/S28,0.2)-1</f>
        <v>-4.3458813127000062E-2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54.604699999999994</v>
      </c>
      <c r="K29" s="37"/>
      <c r="L29" s="7"/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48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49">+SUM(I25:I29)+SUM(H30:H36)</f>
        <v>705.61480000000006</v>
      </c>
      <c r="W29" s="67">
        <f t="shared" ref="W29" si="50">+SUM(J25:J29)+SUM(I30:I36)</f>
        <v>676.83500000000004</v>
      </c>
      <c r="X29" s="37"/>
      <c r="Y29" s="78"/>
      <c r="Z29" s="7"/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51.708199999999998</v>
      </c>
      <c r="K30" s="37"/>
      <c r="L30" s="7"/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51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52">+SUM(I25:I30)+SUM(H31:H36)</f>
        <v>699.48170000000005</v>
      </c>
      <c r="W30" s="67">
        <f t="shared" ref="W30" si="53">+SUM(J25:J30)+SUM(I31:I36)</f>
        <v>672.24039999999991</v>
      </c>
      <c r="X30" s="37"/>
      <c r="Y30" s="78"/>
      <c r="Z30" s="7"/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/>
      <c r="L31" s="7"/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54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55">+SUM(I25:I31)+SUM(H32:H36)</f>
        <v>695.76640000000009</v>
      </c>
      <c r="W31" s="67">
        <f t="shared" ref="W31" si="56">+SUM(J25:J31)+SUM(I32:I36)</f>
        <v>681.70039999999995</v>
      </c>
      <c r="X31" s="37"/>
      <c r="Y31" s="78"/>
      <c r="Z31" s="7"/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/>
      <c r="L32" s="7"/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57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58">+SUM(I25:I32)+SUM(H33:H36)</f>
        <v>689.22940000000017</v>
      </c>
      <c r="W32" s="67">
        <f t="shared" ref="W32" si="59">+SUM(J25:J32)+SUM(I33:I36)</f>
        <v>689.61080000000004</v>
      </c>
      <c r="X32" s="37"/>
      <c r="Y32" s="78"/>
      <c r="Z32" s="7"/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/>
      <c r="L33" s="7"/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60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61">+SUM(I25:I33)+SUM(H34:H36)</f>
        <v>682.81270000000006</v>
      </c>
      <c r="W33" s="67">
        <f t="shared" ref="W33" si="62">+SUM(J25:J33)+SUM(I34:I36)</f>
        <v>687.82159999999999</v>
      </c>
      <c r="X33" s="37"/>
      <c r="Y33" s="78"/>
      <c r="Z33" s="7"/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/>
      <c r="L34" s="7"/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63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64">+SUM(I25:I34)+SUM(H35:H36)</f>
        <v>683.08630000000005</v>
      </c>
      <c r="W34" s="67">
        <f t="shared" ref="W34" si="65">+SUM(J25:J34)+SUM(I35:I36)</f>
        <v>686.09399999999994</v>
      </c>
      <c r="X34" s="37"/>
      <c r="Y34" s="78"/>
      <c r="Z34" s="7"/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66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67">+SUM(I25:I35)+SUM(H36)</f>
        <v>685.77230000000009</v>
      </c>
      <c r="W35" s="67">
        <f t="shared" ref="W35" si="68">+SUM(J25:J35)+SUM(I36)</f>
        <v>690.61429999999996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69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70">+SUM(I25:I36)</f>
        <v>688.03650000000016</v>
      </c>
      <c r="W36" s="67">
        <f t="shared" ref="W36" si="71">+SUM(J25:J36)</f>
        <v>690.77799999999991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72">SUM(G25:G36)</f>
        <v>810.64199999999983</v>
      </c>
      <c r="H37" s="54">
        <f t="shared" si="72"/>
        <v>740.46529999999996</v>
      </c>
      <c r="I37" s="54">
        <f t="shared" ref="I37:J37" si="73">SUM(I25:I36)</f>
        <v>688.03650000000016</v>
      </c>
      <c r="J37" s="186">
        <f t="shared" si="73"/>
        <v>690.77799999999991</v>
      </c>
      <c r="K37" s="55"/>
      <c r="L37" s="56"/>
      <c r="M37" s="3"/>
      <c r="N37" s="43" t="s">
        <v>14</v>
      </c>
      <c r="O37" s="46">
        <f t="shared" ref="O37:V37" si="74">+AVERAGE(O25:O36)</f>
        <v>933.51717625000003</v>
      </c>
      <c r="P37" s="46">
        <f t="shared" si="74"/>
        <v>875.24193883333328</v>
      </c>
      <c r="Q37" s="46">
        <f t="shared" si="74"/>
        <v>830.83800000000019</v>
      </c>
      <c r="R37" s="46">
        <f t="shared" si="74"/>
        <v>823.92825833333325</v>
      </c>
      <c r="S37" s="46">
        <f t="shared" si="74"/>
        <v>889.07348333333346</v>
      </c>
      <c r="T37" s="46">
        <f t="shared" si="74"/>
        <v>853.16564999999991</v>
      </c>
      <c r="U37" s="46">
        <f t="shared" si="74"/>
        <v>785.60614166666653</v>
      </c>
      <c r="V37" s="46">
        <f t="shared" si="74"/>
        <v>702.10921666666684</v>
      </c>
      <c r="W37" s="68">
        <f t="shared" ref="W37:X37" si="75">+AVERAGE(W25:W36)</f>
        <v>683.62333333333345</v>
      </c>
      <c r="X37" s="47">
        <f t="shared" si="75"/>
        <v>692.90907500000003</v>
      </c>
      <c r="Y37" s="79">
        <f t="shared" ref="Y37" si="76">+X37/W37-1</f>
        <v>1.3583125697874454E-2</v>
      </c>
      <c r="Z37" s="75">
        <f t="shared" ref="Z37" si="77">+POWER(X37/S37,0.2)-1</f>
        <v>-4.8633798820848173E-2</v>
      </c>
    </row>
    <row r="38" spans="1:26" ht="25.5" x14ac:dyDescent="0.25">
      <c r="A38" s="57" t="s">
        <v>15</v>
      </c>
      <c r="B38" s="58">
        <f t="shared" ref="B38:H38" si="78">+B37/B$73</f>
        <v>0.75328292479786219</v>
      </c>
      <c r="C38" s="58">
        <f t="shared" si="78"/>
        <v>0.76418271701909901</v>
      </c>
      <c r="D38" s="58">
        <f t="shared" si="78"/>
        <v>0.72577689607145324</v>
      </c>
      <c r="E38" s="58">
        <f t="shared" si="78"/>
        <v>0.70783129738698503</v>
      </c>
      <c r="F38" s="58">
        <f t="shared" si="78"/>
        <v>0.68625458124688243</v>
      </c>
      <c r="G38" s="58">
        <f t="shared" si="78"/>
        <v>0.690265730874005</v>
      </c>
      <c r="H38" s="58">
        <f t="shared" si="78"/>
        <v>0.67753831885212212</v>
      </c>
      <c r="I38" s="58">
        <f t="shared" ref="I38:J38" si="79">+I37/I$73</f>
        <v>0.70351279660744881</v>
      </c>
      <c r="J38" s="189">
        <f t="shared" si="79"/>
        <v>0.71007288944292302</v>
      </c>
      <c r="K38" s="188"/>
      <c r="L38" s="59"/>
      <c r="M38" s="3"/>
      <c r="N38" s="44" t="s">
        <v>15</v>
      </c>
      <c r="O38" s="48">
        <f t="shared" ref="O38:V38" si="80">+O37/O$73</f>
        <v>0.75232926919891541</v>
      </c>
      <c r="P38" s="48">
        <f t="shared" si="80"/>
        <v>0.7595769435668277</v>
      </c>
      <c r="Q38" s="48">
        <f t="shared" si="80"/>
        <v>0.75013286192851458</v>
      </c>
      <c r="R38" s="48">
        <f t="shared" si="80"/>
        <v>0.71367439588911441</v>
      </c>
      <c r="S38" s="48">
        <f t="shared" si="80"/>
        <v>0.68526955944232681</v>
      </c>
      <c r="T38" s="48">
        <f t="shared" si="80"/>
        <v>0.68978395197060549</v>
      </c>
      <c r="U38" s="48">
        <f t="shared" si="80"/>
        <v>0.68730128933745138</v>
      </c>
      <c r="V38" s="48">
        <f t="shared" si="80"/>
        <v>0.69083964170350975</v>
      </c>
      <c r="W38" s="69">
        <f t="shared" ref="W38:X38" si="81">+W37/W$73</f>
        <v>0.70492846462551395</v>
      </c>
      <c r="X38" s="72">
        <f t="shared" si="81"/>
        <v>0.70757659727294786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82">+D37/C37-1</f>
        <v>-5.0942938827870154E-2</v>
      </c>
      <c r="E39" s="62">
        <f t="shared" si="82"/>
        <v>4.7676028411353766E-2</v>
      </c>
      <c r="F39" s="62">
        <f t="shared" si="82"/>
        <v>8.2911993594652955E-2</v>
      </c>
      <c r="G39" s="62">
        <f t="shared" si="82"/>
        <v>-0.11702831484446208</v>
      </c>
      <c r="H39" s="62">
        <f t="shared" si="82"/>
        <v>-8.6569287058898881E-2</v>
      </c>
      <c r="I39" s="62">
        <f t="shared" si="82"/>
        <v>-7.0805208562777722E-2</v>
      </c>
      <c r="J39" s="190">
        <f t="shared" si="82"/>
        <v>3.9845269836698005E-3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83">+Q37/P37-1</f>
        <v>-5.0733330823385825E-2</v>
      </c>
      <c r="R39" s="50">
        <f t="shared" si="83"/>
        <v>-8.3165932066984194E-3</v>
      </c>
      <c r="S39" s="50">
        <f t="shared" si="83"/>
        <v>7.906662302343892E-2</v>
      </c>
      <c r="T39" s="50">
        <f t="shared" ref="T39" si="84">+T37/S37-1</f>
        <v>-4.0387925190060958E-2</v>
      </c>
      <c r="U39" s="50">
        <f t="shared" ref="U39" si="85">+U37/T37-1</f>
        <v>-7.9186859355312E-2</v>
      </c>
      <c r="V39" s="50">
        <f t="shared" ref="V39:X39" si="86">+V37/U37-1</f>
        <v>-0.10628344226390674</v>
      </c>
      <c r="W39" s="70">
        <f t="shared" si="86"/>
        <v>-2.6329070883155392E-2</v>
      </c>
      <c r="X39" s="73">
        <f t="shared" si="86"/>
        <v>1.3583125697874454E-2</v>
      </c>
      <c r="Y39" s="51"/>
      <c r="Z39" s="52"/>
    </row>
    <row r="40" spans="1:26" ht="13.5" thickBot="1" x14ac:dyDescent="0.3"/>
    <row r="41" spans="1:26" ht="13.5" thickBot="1" x14ac:dyDescent="0.3">
      <c r="A41" s="325" t="s">
        <v>212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N41" s="325" t="s">
        <v>213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88">+P42+1</f>
        <v>2018</v>
      </c>
      <c r="R42" s="64">
        <f t="shared" si="88"/>
        <v>2019</v>
      </c>
      <c r="S42" s="64">
        <f t="shared" si="88"/>
        <v>2020</v>
      </c>
      <c r="T42" s="64">
        <f t="shared" ref="T42" si="89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90">+SUM(D43)+SUM(C44:C54)</f>
        <v>42.033699999999996</v>
      </c>
      <c r="R43" s="6">
        <f t="shared" ref="R43:X43" si="91">+SUM(E43)+SUM(D44:D54)</f>
        <v>35.220099999999995</v>
      </c>
      <c r="S43" s="6">
        <f t="shared" si="91"/>
        <v>32.7562</v>
      </c>
      <c r="T43" s="6">
        <f t="shared" si="91"/>
        <v>28.505299999999998</v>
      </c>
      <c r="U43" s="6">
        <f t="shared" si="91"/>
        <v>38.613900000000001</v>
      </c>
      <c r="V43" s="6">
        <f t="shared" si="91"/>
        <v>46.067999999999998</v>
      </c>
      <c r="W43" s="67">
        <f t="shared" si="91"/>
        <v>41.123899999999999</v>
      </c>
      <c r="X43" s="37">
        <f t="shared" si="91"/>
        <v>32.648099999999999</v>
      </c>
      <c r="Y43" s="78">
        <f>+X43/W43-1</f>
        <v>-0.20610399305513338</v>
      </c>
      <c r="Z43" s="7">
        <f>+POWER(X43/S43,0.2)-1</f>
        <v>-6.6090072231406172E-4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>+K44/J44-1</f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92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93">+SUM(I43:I44)+SUM(H45:H54)</f>
        <v>45.529899999999998</v>
      </c>
      <c r="W44" s="67">
        <f t="shared" ref="W44:X44" si="94">+SUM(J43:J44)+SUM(I45:I54)</f>
        <v>40.5199</v>
      </c>
      <c r="X44" s="37">
        <f t="shared" si="94"/>
        <v>33.0777</v>
      </c>
      <c r="Y44" s="78">
        <f>+X44/W44-1</f>
        <v>-0.18366777805473355</v>
      </c>
      <c r="Z44" s="7">
        <f>+POWER(X44/S44,0.2)-1</f>
        <v>2.5037549548470039E-3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>+K45/J45-1</f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95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96">+SUM(I43:I45)+SUM(H46:H54)</f>
        <v>44.891400000000004</v>
      </c>
      <c r="W45" s="67">
        <f t="shared" ref="W45" si="97">+SUM(J43:J45)+SUM(I46:I54)</f>
        <v>40.006900000000002</v>
      </c>
      <c r="X45" s="37">
        <f t="shared" ref="X45" si="98">+SUM(K43:K45)+SUM(J46:J54)</f>
        <v>32.639099999999999</v>
      </c>
      <c r="Y45" s="78">
        <f>+X45/W45-1</f>
        <v>-0.18416323184250727</v>
      </c>
      <c r="Z45" s="7">
        <f>+POWER(X45/S45,0.2)-1</f>
        <v>-1.4477747527327223E-3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>+K46/J46-1</f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99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00">+SUM(I43:I46)+SUM(H47:H54)</f>
        <v>44.078899999999997</v>
      </c>
      <c r="W46" s="67">
        <f t="shared" ref="W46" si="101">+SUM(J43:J46)+SUM(I47:I54)</f>
        <v>39.402000000000001</v>
      </c>
      <c r="X46" s="37">
        <f t="shared" ref="X46" si="102">+SUM(K43:K46)+SUM(J47:J54)</f>
        <v>33.275500000000001</v>
      </c>
      <c r="Y46" s="78">
        <f>+X46/W46-1</f>
        <v>-0.15548703111517181</v>
      </c>
      <c r="Z46" s="7">
        <f>+POWER(X46/S46,0.2)-1</f>
        <v>2.5949469598955943E-3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2.0667999999999997</v>
      </c>
      <c r="K47" s="37"/>
      <c r="L47" s="7"/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03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04">+SUM(I43:I47)+SUM(H48:H54)</f>
        <v>43.835499999999996</v>
      </c>
      <c r="W47" s="67">
        <f t="shared" ref="W47" si="105">+SUM(J43:J47)+SUM(I48:I54)</f>
        <v>38.178100000000001</v>
      </c>
      <c r="X47" s="37"/>
      <c r="Y47" s="78"/>
      <c r="Z47" s="7"/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1.5807</v>
      </c>
      <c r="K48" s="37"/>
      <c r="L48" s="7"/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06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07">+SUM(I43:I48)+SUM(H49:H54)</f>
        <v>43.542499999999997</v>
      </c>
      <c r="W48" s="67">
        <f t="shared" ref="W48" si="108">+SUM(J43:J48)+SUM(I49:I54)</f>
        <v>36.451700000000002</v>
      </c>
      <c r="X48" s="37"/>
      <c r="Y48" s="78"/>
      <c r="Z48" s="7"/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/>
      <c r="L49" s="7"/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09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10">+SUM(I43:I49)+SUM(H50:H54)</f>
        <v>43.2639</v>
      </c>
      <c r="W49" s="67">
        <f t="shared" ref="W49" si="111">+SUM(J43:J49)+SUM(I50:I54)</f>
        <v>35.578099999999999</v>
      </c>
      <c r="X49" s="37"/>
      <c r="Y49" s="78"/>
      <c r="Z49" s="7"/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/>
      <c r="L50" s="7"/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12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13">+SUM(I43:I50)+SUM(H51:H54)</f>
        <v>42.538799999999995</v>
      </c>
      <c r="W50" s="67">
        <f t="shared" ref="W50" si="114">+SUM(J43:J50)+SUM(I51:I54)</f>
        <v>34.098999999999997</v>
      </c>
      <c r="X50" s="37"/>
      <c r="Y50" s="78"/>
      <c r="Z50" s="7"/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/>
      <c r="L51" s="7"/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15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16">+SUM(I43:I51)+SUM(H52:H54)</f>
        <v>41.309699999999999</v>
      </c>
      <c r="W51" s="67">
        <f t="shared" ref="W51" si="117">+SUM(J43:J51)+SUM(I52:I54)</f>
        <v>33.764799999999994</v>
      </c>
      <c r="X51" s="37"/>
      <c r="Y51" s="78"/>
      <c r="Z51" s="7"/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/>
      <c r="L52" s="7"/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18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19">+SUM(I43:I52)+SUM(H53:H54)</f>
        <v>41.563199999999995</v>
      </c>
      <c r="W52" s="67">
        <f t="shared" ref="W52" si="120">+SUM(J43:J52)+SUM(I53:I54)</f>
        <v>33.000099999999996</v>
      </c>
      <c r="X52" s="37"/>
      <c r="Y52" s="78"/>
      <c r="Z52" s="7"/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21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22">+SUM(I43:I53)+SUM(H54)</f>
        <v>41.834899999999998</v>
      </c>
      <c r="W53" s="67">
        <f t="shared" ref="W53" si="123">+SUM(J43:J53)+SUM(I54)</f>
        <v>32.767999999999994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24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25">+SUM(I43:I54)</f>
        <v>41.593499999999999</v>
      </c>
      <c r="W54" s="67">
        <f t="shared" ref="W54" si="126">+SUM(J43:J54)</f>
        <v>32.740599999999993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27">SUM(C43:C54)</f>
        <v>42.455489999999998</v>
      </c>
      <c r="D55" s="54">
        <f t="shared" si="127"/>
        <v>35.283500000000004</v>
      </c>
      <c r="E55" s="54">
        <f t="shared" si="127"/>
        <v>32.901299999999999</v>
      </c>
      <c r="F55" s="54">
        <f t="shared" si="127"/>
        <v>28.347000000000001</v>
      </c>
      <c r="G55" s="54">
        <f t="shared" si="127"/>
        <v>38.698599999999999</v>
      </c>
      <c r="H55" s="54">
        <f t="shared" si="127"/>
        <v>45.703299999999999</v>
      </c>
      <c r="I55" s="54">
        <f t="shared" ref="I55:J55" si="128">SUM(I43:I54)</f>
        <v>41.593499999999999</v>
      </c>
      <c r="J55" s="186">
        <f t="shared" si="128"/>
        <v>32.740599999999993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29">+AVERAGE(Q43:Q54)</f>
        <v>39.238883333333327</v>
      </c>
      <c r="R55" s="46">
        <f t="shared" si="129"/>
        <v>32.477699999999999</v>
      </c>
      <c r="S55" s="46">
        <f t="shared" si="129"/>
        <v>31.146575000000002</v>
      </c>
      <c r="T55" s="46">
        <f t="shared" si="129"/>
        <v>33.286683333333336</v>
      </c>
      <c r="U55" s="46">
        <f t="shared" si="129"/>
        <v>43.157916666666672</v>
      </c>
      <c r="V55" s="46">
        <f t="shared" si="129"/>
        <v>43.337516666666666</v>
      </c>
      <c r="W55" s="68">
        <f t="shared" ref="W55" si="130">+AVERAGE(W43:W54)</f>
        <v>36.469424999999994</v>
      </c>
      <c r="X55" s="47">
        <f t="shared" ref="X55" si="131">+AVERAGE(X43:X54)</f>
        <v>32.9101</v>
      </c>
      <c r="Y55" s="79">
        <f t="shared" ref="Y55" si="132">+X55/W55-1</f>
        <v>-9.7597508049550918E-2</v>
      </c>
      <c r="Z55" s="75">
        <f t="shared" ref="Z55" si="133">+POWER(X55/S55,0.2)-1</f>
        <v>1.1075952004971912E-2</v>
      </c>
    </row>
    <row r="56" spans="1:26" ht="25.5" x14ac:dyDescent="0.25">
      <c r="A56" s="57" t="s">
        <v>15</v>
      </c>
      <c r="B56" s="58">
        <f t="shared" ref="B56:H56" si="134">+B55/B$73</f>
        <v>4.0215548278411811E-2</v>
      </c>
      <c r="C56" s="58">
        <f t="shared" si="134"/>
        <v>3.8050576434260734E-2</v>
      </c>
      <c r="D56" s="58">
        <f t="shared" si="134"/>
        <v>3.1645549752354195E-2</v>
      </c>
      <c r="E56" s="58">
        <f t="shared" si="134"/>
        <v>2.7469683726224738E-2</v>
      </c>
      <c r="F56" s="58">
        <f t="shared" si="134"/>
        <v>2.1188979279021563E-2</v>
      </c>
      <c r="G56" s="58">
        <f t="shared" si="134"/>
        <v>3.2952052093033396E-2</v>
      </c>
      <c r="H56" s="58">
        <f t="shared" si="134"/>
        <v>4.1819295310656958E-2</v>
      </c>
      <c r="I56" s="58">
        <f t="shared" ref="I56:J56" si="135">+I55/I$73</f>
        <v>4.2529080224220535E-2</v>
      </c>
      <c r="J56" s="189">
        <f t="shared" si="135"/>
        <v>3.3655114152585874E-2</v>
      </c>
      <c r="K56" s="188"/>
      <c r="L56" s="59"/>
      <c r="M56" s="3"/>
      <c r="N56" s="44" t="s">
        <v>15</v>
      </c>
      <c r="O56" s="48">
        <f t="shared" ref="O56:V56" si="136">+O55/O$73</f>
        <v>4.0115736049437044E-2</v>
      </c>
      <c r="P56" s="48">
        <f t="shared" si="136"/>
        <v>3.9929052560259748E-2</v>
      </c>
      <c r="Q56" s="48">
        <f t="shared" si="136"/>
        <v>3.54273346352868E-2</v>
      </c>
      <c r="R56" s="48">
        <f t="shared" si="136"/>
        <v>2.8131700415584798E-2</v>
      </c>
      <c r="S56" s="48">
        <f t="shared" si="136"/>
        <v>2.4006789234523967E-2</v>
      </c>
      <c r="T56" s="48">
        <f t="shared" si="136"/>
        <v>2.691226490150038E-2</v>
      </c>
      <c r="U56" s="48">
        <f t="shared" si="136"/>
        <v>3.7757459109458075E-2</v>
      </c>
      <c r="V56" s="48">
        <f t="shared" si="136"/>
        <v>4.2641904956695419E-2</v>
      </c>
      <c r="W56" s="69">
        <f t="shared" ref="W56" si="137">+W55/W$73</f>
        <v>3.7605995169404188E-2</v>
      </c>
      <c r="X56" s="72">
        <f t="shared" ref="X56" si="138">+X55/X$73</f>
        <v>3.3606742087931872E-2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39">+D55/C55-1</f>
        <v>-0.16892962488479102</v>
      </c>
      <c r="E57" s="62">
        <f t="shared" si="139"/>
        <v>-6.7515977723298537E-2</v>
      </c>
      <c r="F57" s="62">
        <f t="shared" si="139"/>
        <v>-0.13842310182272421</v>
      </c>
      <c r="G57" s="62">
        <f t="shared" si="139"/>
        <v>0.3651744452675767</v>
      </c>
      <c r="H57" s="62">
        <f t="shared" si="139"/>
        <v>0.18100654804049765</v>
      </c>
      <c r="I57" s="62">
        <f t="shared" si="139"/>
        <v>-8.9923484737425952E-2</v>
      </c>
      <c r="J57" s="190">
        <f t="shared" si="139"/>
        <v>-0.21284335292774126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40">+Q55/P55-1</f>
        <v>-0.14715268137145809</v>
      </c>
      <c r="R57" s="50">
        <f t="shared" si="140"/>
        <v>-0.17230825036220443</v>
      </c>
      <c r="S57" s="50">
        <f t="shared" si="140"/>
        <v>-4.0985814882211424E-2</v>
      </c>
      <c r="T57" s="50">
        <f t="shared" ref="T57" si="141">+T55/S55-1</f>
        <v>6.8710872169197801E-2</v>
      </c>
      <c r="U57" s="50">
        <f t="shared" ref="U57" si="142">+U55/T55-1</f>
        <v>0.29655202455836949</v>
      </c>
      <c r="V57" s="50">
        <f t="shared" ref="V57:X57" si="143">+V55/U55-1</f>
        <v>4.1614613000702239E-3</v>
      </c>
      <c r="W57" s="70">
        <f t="shared" si="143"/>
        <v>-0.15847912374613082</v>
      </c>
      <c r="X57" s="73">
        <f t="shared" si="143"/>
        <v>-9.7597508049550918E-2</v>
      </c>
      <c r="Y57" s="51"/>
      <c r="Z57" s="52"/>
    </row>
    <row r="58" spans="1:26" ht="13.5" thickBot="1" x14ac:dyDescent="0.3"/>
    <row r="59" spans="1:26" ht="13.5" thickBot="1" x14ac:dyDescent="0.3">
      <c r="A59" s="328" t="s">
        <v>214</v>
      </c>
      <c r="B59" s="329"/>
      <c r="C59" s="329"/>
      <c r="D59" s="329"/>
      <c r="E59" s="329"/>
      <c r="F59" s="329"/>
      <c r="G59" s="329"/>
      <c r="H59" s="329"/>
      <c r="I59" s="329"/>
      <c r="J59" s="329"/>
      <c r="K59" s="329"/>
      <c r="L59" s="330"/>
      <c r="N59" s="328" t="s">
        <v>215</v>
      </c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30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44">+C60+1</f>
        <v>2018</v>
      </c>
      <c r="E60" s="39">
        <f t="shared" si="144"/>
        <v>2019</v>
      </c>
      <c r="F60" s="39">
        <f t="shared" si="144"/>
        <v>2020</v>
      </c>
      <c r="G60" s="39">
        <f t="shared" si="144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45">+P60+1</f>
        <v>2018</v>
      </c>
      <c r="R60" s="64">
        <f t="shared" si="145"/>
        <v>2019</v>
      </c>
      <c r="S60" s="64">
        <f t="shared" si="145"/>
        <v>2020</v>
      </c>
      <c r="T60" s="64">
        <f t="shared" si="145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46">+SUM(D61)+SUM(C62:C72)</f>
        <v>1112.3813</v>
      </c>
      <c r="R61" s="80">
        <f t="shared" ref="R61:X61" si="147">+SUM(E61)+SUM(D62:D72)</f>
        <v>1126.5392999999999</v>
      </c>
      <c r="S61" s="80">
        <f t="shared" si="147"/>
        <v>1223.1381999999999</v>
      </c>
      <c r="T61" s="80">
        <f t="shared" si="147"/>
        <v>1313.4092000000001</v>
      </c>
      <c r="U61" s="80">
        <f t="shared" si="147"/>
        <v>1161.1904</v>
      </c>
      <c r="V61" s="80">
        <f t="shared" si="147"/>
        <v>1088.2899</v>
      </c>
      <c r="W61" s="67">
        <f t="shared" si="147"/>
        <v>971.23720000000003</v>
      </c>
      <c r="X61" s="37">
        <f t="shared" si="147"/>
        <v>976.23728900000003</v>
      </c>
      <c r="Y61" s="78">
        <f t="shared" ref="Y61:Y62" si="148">+X61/W61-1</f>
        <v>5.1481646296085426E-3</v>
      </c>
      <c r="Z61" s="7">
        <f t="shared" ref="Z61:Z62" si="149">+POWER(X61/S61,0.2)-1</f>
        <v>-4.4092272419627543E-2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>+K62/J62-1</f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50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51">+SUM(I61:I62)+SUM(H63:H72)</f>
        <v>1073.9671000000001</v>
      </c>
      <c r="W62" s="67">
        <f t="shared" ref="W62:X62" si="152">+SUM(J61:J62)+SUM(I63:I72)</f>
        <v>971.2553999999999</v>
      </c>
      <c r="X62" s="37">
        <f t="shared" si="152"/>
        <v>979.46778899999993</v>
      </c>
      <c r="Y62" s="78">
        <f t="shared" si="148"/>
        <v>8.4554371589593558E-3</v>
      </c>
      <c r="Z62" s="7">
        <f t="shared" si="149"/>
        <v>-4.7506728277346699E-2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>+K63/J63-1</f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53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54">+SUM(I61:I63)+SUM(H64:H72)</f>
        <v>1052.6591999999998</v>
      </c>
      <c r="W63" s="67">
        <f t="shared" ref="W63" si="155">+SUM(J61:J63)+SUM(I64:I72)</f>
        <v>964.92049999999995</v>
      </c>
      <c r="X63" s="37">
        <f t="shared" ref="X63" si="156">+SUM(K61:K63)+SUM(J64:J72)</f>
        <v>979.94158900000002</v>
      </c>
      <c r="Y63" s="78">
        <f>+X63/W63-1</f>
        <v>1.5567177814130861E-2</v>
      </c>
      <c r="Z63" s="7">
        <f>+POWER(X63/S63,0.2)-1</f>
        <v>-4.8035419240062938E-2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>+K64/J64-1</f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57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158">+SUM(I61:I64)+SUM(H65:H72)</f>
        <v>1038.7458999999999</v>
      </c>
      <c r="W64" s="67">
        <f t="shared" ref="W64" si="159">+SUM(J61:J64)+SUM(I65:I72)</f>
        <v>962.85440000000006</v>
      </c>
      <c r="X64" s="37">
        <f t="shared" ref="X64" si="160">+SUM(K61:K64)+SUM(J65:J72)</f>
        <v>981.43638900000019</v>
      </c>
      <c r="Y64" s="78">
        <f>+X64/W64-1</f>
        <v>1.9298856608018999E-2</v>
      </c>
      <c r="Z64" s="7">
        <f>+POWER(X64/S64,0.2)-1</f>
        <v>-4.9149881384233152E-2</v>
      </c>
    </row>
    <row r="65" spans="1:33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85.336399999999998</v>
      </c>
      <c r="K65" s="37"/>
      <c r="L65" s="7"/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161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162">+SUM(I61:I65)+SUM(H66:H72)</f>
        <v>1030.1900999999998</v>
      </c>
      <c r="W65" s="67">
        <f t="shared" ref="W65" si="163">+SUM(J61:J65)+SUM(I66:I72)</f>
        <v>967.68130000000019</v>
      </c>
      <c r="X65" s="37"/>
      <c r="Y65" s="78"/>
      <c r="Z65" s="7"/>
    </row>
    <row r="66" spans="1:33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70.897099999999995</v>
      </c>
      <c r="K66" s="37"/>
      <c r="L66" s="7"/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164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165">+SUM(I61:I66)+SUM(H67:H72)</f>
        <v>1012.5165</v>
      </c>
      <c r="W66" s="67">
        <f t="shared" ref="W66" si="166">+SUM(J61:J66)+SUM(I67:I72)</f>
        <v>959.55730000000005</v>
      </c>
      <c r="X66" s="37"/>
      <c r="Y66" s="78"/>
      <c r="Z66" s="7"/>
    </row>
    <row r="67" spans="1:33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/>
      <c r="L67" s="7"/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167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168">+SUM(I61:I67)+SUM(H68:H72)</f>
        <v>1002.5805</v>
      </c>
      <c r="W67" s="67">
        <f t="shared" ref="W67" si="169">+SUM(J61:J67)+SUM(I68:I72)</f>
        <v>971.06990000000008</v>
      </c>
      <c r="X67" s="37"/>
      <c r="Y67" s="78"/>
      <c r="Z67" s="7"/>
    </row>
    <row r="68" spans="1:33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/>
      <c r="L68" s="7"/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170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171">+SUM(G61:G68)+SUM(F69:F72)</f>
        <v>1213.7646</v>
      </c>
      <c r="U68" s="80">
        <f>+SUM(H61:H68)+SUM(G69:G72)</f>
        <v>1138.3168000000001</v>
      </c>
      <c r="V68" s="80">
        <f t="shared" ref="V68" si="172">+SUM(I61:I68)+SUM(H69:H72)</f>
        <v>989.1742999999999</v>
      </c>
      <c r="W68" s="67">
        <f t="shared" ref="W68" si="173">+SUM(J61:J68)+SUM(I69:I72)</f>
        <v>977.43420000000015</v>
      </c>
      <c r="X68" s="37"/>
      <c r="Y68" s="78"/>
      <c r="Z68" s="7"/>
    </row>
    <row r="69" spans="1:33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/>
      <c r="L69" s="7"/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174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175">+SUM(H61:H69)+SUM(G70:G72)</f>
        <v>1139.4866</v>
      </c>
      <c r="V69" s="80">
        <f t="shared" ref="V69" si="176">+SUM(I61:I69)+SUM(H70:H72)</f>
        <v>977.44389999999999</v>
      </c>
      <c r="W69" s="67">
        <f t="shared" ref="W69" si="177">+SUM(J61:J69)+SUM(I70:I72)</f>
        <v>975.35960000000023</v>
      </c>
      <c r="X69" s="37"/>
      <c r="Y69" s="78"/>
      <c r="Z69" s="7"/>
    </row>
    <row r="70" spans="1:33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/>
      <c r="L70" s="7"/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178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179">+SUM(I61:I70)+SUM(H71:H72)</f>
        <v>976.18259999999987</v>
      </c>
      <c r="W70" s="67">
        <f t="shared" ref="W70" si="180">+SUM(J61:J70)+SUM(I71:I72)</f>
        <v>969.73418900000013</v>
      </c>
      <c r="X70" s="37"/>
      <c r="Y70" s="78"/>
      <c r="Z70" s="7"/>
    </row>
    <row r="71" spans="1:33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181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182">+SUM(I61:I71)+SUM(H72)</f>
        <v>976.00299999999993</v>
      </c>
      <c r="W71" s="67">
        <f t="shared" ref="W71" si="183">+SUM(J61:J71)+SUM(I72)</f>
        <v>973.39178900000013</v>
      </c>
      <c r="X71" s="37"/>
      <c r="Y71" s="78"/>
      <c r="Z71" s="7"/>
    </row>
    <row r="72" spans="1:33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184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185">+SUM(I61:I72)</f>
        <v>978.00139999999999</v>
      </c>
      <c r="W72" s="67">
        <f t="shared" ref="W72" si="186">+SUM(J61:J72)</f>
        <v>972.82688900000016</v>
      </c>
      <c r="X72" s="37"/>
      <c r="Y72" s="78"/>
      <c r="Z72" s="7"/>
    </row>
    <row r="73" spans="1:33" ht="25.5" x14ac:dyDescent="0.25">
      <c r="A73" s="53" t="s">
        <v>13</v>
      </c>
      <c r="B73" s="54">
        <f>SUM(B61:B72)</f>
        <v>1201.4457359999999</v>
      </c>
      <c r="C73" s="54">
        <f t="shared" ref="C73:G73" si="187">SUM(C61:C72)</f>
        <v>1115.7646999999999</v>
      </c>
      <c r="D73" s="54">
        <f t="shared" si="187"/>
        <v>1114.9593</v>
      </c>
      <c r="E73" s="54">
        <f t="shared" si="187"/>
        <v>1197.7312999999999</v>
      </c>
      <c r="F73" s="54">
        <f t="shared" si="187"/>
        <v>1337.8181000000002</v>
      </c>
      <c r="G73" s="54">
        <f t="shared" si="187"/>
        <v>1174.3912</v>
      </c>
      <c r="H73" s="54">
        <f t="shared" ref="H73:I73" si="188">SUM(H61:H72)</f>
        <v>1092.8759</v>
      </c>
      <c r="I73" s="54">
        <f t="shared" si="188"/>
        <v>978.00139999999999</v>
      </c>
      <c r="J73" s="186">
        <f t="shared" ref="J73" si="189">SUM(J61:J72)</f>
        <v>972.82688900000016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190">+AVERAGE(Q61:Q72)</f>
        <v>1107.5877916666668</v>
      </c>
      <c r="R73" s="157">
        <f t="shared" si="190"/>
        <v>1154.4876249999998</v>
      </c>
      <c r="S73" s="157">
        <f t="shared" si="190"/>
        <v>1297.4069416666669</v>
      </c>
      <c r="T73" s="157">
        <f t="shared" si="190"/>
        <v>1236.8592333333333</v>
      </c>
      <c r="U73" s="157">
        <f t="shared" si="190"/>
        <v>1143.0302166666668</v>
      </c>
      <c r="V73" s="157">
        <f t="shared" si="190"/>
        <v>1016.3128666666667</v>
      </c>
      <c r="W73" s="230">
        <f t="shared" ref="W73:X73" si="191">+AVERAGE(W61:W72)</f>
        <v>969.77688891666673</v>
      </c>
      <c r="X73" s="230">
        <f t="shared" si="191"/>
        <v>979.2707640000001</v>
      </c>
      <c r="Y73" s="79">
        <f t="shared" ref="Y73" si="192">+X73/W73-1</f>
        <v>9.7897518406928619E-3</v>
      </c>
      <c r="Z73" s="75">
        <f t="shared" ref="Z73" si="193">+POWER(X73/S73,0.2)-1</f>
        <v>-5.47094543047556E-2</v>
      </c>
    </row>
    <row r="74" spans="1:33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194">+D73/C73-1</f>
        <v>-7.218367815364779E-4</v>
      </c>
      <c r="E74" s="62">
        <f t="shared" si="194"/>
        <v>7.4237687420518395E-2</v>
      </c>
      <c r="F74" s="62">
        <f t="shared" si="194"/>
        <v>0.11696012285894186</v>
      </c>
      <c r="G74" s="62">
        <f t="shared" si="194"/>
        <v>-0.12215928308938273</v>
      </c>
      <c r="H74" s="62">
        <f t="shared" si="194"/>
        <v>-6.9410687001060678E-2</v>
      </c>
      <c r="I74" s="62">
        <f t="shared" si="194"/>
        <v>-0.10511211748744753</v>
      </c>
      <c r="J74" s="190">
        <f t="shared" si="194"/>
        <v>-5.2909034690541423E-3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195">+Q73/P73-1</f>
        <v>-3.8782178733893891E-2</v>
      </c>
      <c r="R74" s="50">
        <f t="shared" si="195"/>
        <v>4.2344122683728225E-2</v>
      </c>
      <c r="S74" s="50">
        <f t="shared" si="195"/>
        <v>0.12379458520975239</v>
      </c>
      <c r="T74" s="50">
        <f t="shared" si="195"/>
        <v>-4.6668247555044728E-2</v>
      </c>
      <c r="U74" s="50">
        <f t="shared" si="195"/>
        <v>-7.5860707619732515E-2</v>
      </c>
      <c r="V74" s="50">
        <f t="shared" si="195"/>
        <v>-0.11086089252262854</v>
      </c>
      <c r="W74" s="70">
        <f t="shared" si="195"/>
        <v>-4.578902745040514E-2</v>
      </c>
      <c r="X74" s="70">
        <f t="shared" si="195"/>
        <v>9.7897518406928619E-3</v>
      </c>
      <c r="Y74" s="51"/>
      <c r="Z74" s="52"/>
    </row>
    <row r="76" spans="1:33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33" ht="13.5" thickBot="1" x14ac:dyDescent="0.3"/>
    <row r="78" spans="1:33" ht="13.5" thickBot="1" x14ac:dyDescent="0.3">
      <c r="A78" s="322" t="str">
        <f>+A5</f>
        <v>VENTA TOTAL DE VINO VARIETAL - Millones de litros</v>
      </c>
      <c r="B78" s="323"/>
      <c r="C78" s="323"/>
      <c r="D78" s="323"/>
      <c r="E78" s="323"/>
      <c r="F78" s="323"/>
      <c r="G78" s="323"/>
      <c r="H78" s="323"/>
      <c r="I78" s="323"/>
      <c r="J78" s="323"/>
      <c r="K78" s="324"/>
      <c r="AC78" s="2">
        <v>196</v>
      </c>
      <c r="AD78" s="2" t="s">
        <v>307</v>
      </c>
      <c r="AF78" s="2">
        <f>1/0.27</f>
        <v>3.7037037037037033</v>
      </c>
      <c r="AG78" s="2">
        <f>+AC78/AF78</f>
        <v>52.920000000000009</v>
      </c>
    </row>
    <row r="79" spans="1:33" x14ac:dyDescent="0.25">
      <c r="A79" s="262"/>
      <c r="B79" s="259">
        <v>2016</v>
      </c>
      <c r="C79" s="260">
        <f>+B79+1</f>
        <v>2017</v>
      </c>
      <c r="D79" s="260">
        <f t="shared" ref="D79:H79" si="196">+C79+1</f>
        <v>2018</v>
      </c>
      <c r="E79" s="260">
        <f t="shared" si="196"/>
        <v>2019</v>
      </c>
      <c r="F79" s="260">
        <f t="shared" si="196"/>
        <v>2020</v>
      </c>
      <c r="G79" s="260">
        <f t="shared" si="196"/>
        <v>2021</v>
      </c>
      <c r="H79" s="260">
        <f t="shared" si="196"/>
        <v>2022</v>
      </c>
      <c r="I79" s="260">
        <v>2023</v>
      </c>
      <c r="J79" s="261">
        <v>2024</v>
      </c>
      <c r="K79" s="263">
        <v>2025</v>
      </c>
      <c r="AC79" s="2">
        <v>150</v>
      </c>
      <c r="AD79" s="2" t="s">
        <v>308</v>
      </c>
      <c r="AF79" s="2">
        <f t="shared" ref="AF79:AF80" si="197">1/0.27</f>
        <v>3.7037037037037033</v>
      </c>
      <c r="AG79" s="2">
        <f t="shared" ref="AG79:AG80" si="198">+AC79/AF79</f>
        <v>40.500000000000007</v>
      </c>
    </row>
    <row r="80" spans="1:33" x14ac:dyDescent="0.25">
      <c r="A80" s="264" t="s">
        <v>299</v>
      </c>
      <c r="B80" s="193">
        <f>+SUM(B7:B9)</f>
        <v>46.174717000000001</v>
      </c>
      <c r="C80" s="6">
        <f t="shared" ref="C80:K80" si="199">+SUM(C7:C9)</f>
        <v>38.356513</v>
      </c>
      <c r="D80" s="6">
        <f t="shared" si="199"/>
        <v>40.236599999999996</v>
      </c>
      <c r="E80" s="6">
        <f t="shared" si="199"/>
        <v>58.9315</v>
      </c>
      <c r="F80" s="6">
        <f t="shared" si="199"/>
        <v>101.4358</v>
      </c>
      <c r="G80" s="6">
        <f t="shared" si="199"/>
        <v>68.307500000000005</v>
      </c>
      <c r="H80" s="6">
        <f t="shared" si="199"/>
        <v>64.156399999999991</v>
      </c>
      <c r="I80" s="6">
        <f t="shared" si="199"/>
        <v>49.145899999999997</v>
      </c>
      <c r="J80" s="67">
        <f t="shared" si="199"/>
        <v>44.295400000000001</v>
      </c>
      <c r="K80" s="265">
        <f t="shared" si="199"/>
        <v>48.869599999999998</v>
      </c>
      <c r="AC80" s="2">
        <v>30</v>
      </c>
      <c r="AD80" s="2" t="s">
        <v>309</v>
      </c>
      <c r="AF80" s="2">
        <f t="shared" si="197"/>
        <v>3.7037037037037033</v>
      </c>
      <c r="AG80" s="2">
        <f t="shared" si="198"/>
        <v>8.1000000000000014</v>
      </c>
    </row>
    <row r="81" spans="1:11" x14ac:dyDescent="0.25">
      <c r="A81" s="264" t="s">
        <v>300</v>
      </c>
      <c r="B81" s="193"/>
      <c r="C81" s="6"/>
      <c r="D81" s="6"/>
      <c r="E81" s="6"/>
      <c r="F81" s="6"/>
      <c r="G81" s="6"/>
      <c r="H81" s="6"/>
      <c r="I81" s="6"/>
      <c r="J81" s="67"/>
      <c r="K81" s="265"/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00">SUM(B80:B83)</f>
        <v>46.174717000000001</v>
      </c>
      <c r="C84" s="54">
        <f t="shared" si="200"/>
        <v>38.356513</v>
      </c>
      <c r="D84" s="54">
        <f t="shared" si="200"/>
        <v>40.236599999999996</v>
      </c>
      <c r="E84" s="54">
        <f t="shared" si="200"/>
        <v>58.9315</v>
      </c>
      <c r="F84" s="54">
        <f t="shared" si="200"/>
        <v>101.4358</v>
      </c>
      <c r="G84" s="54">
        <f t="shared" si="200"/>
        <v>68.307500000000005</v>
      </c>
      <c r="H84" s="54">
        <f t="shared" si="200"/>
        <v>64.156399999999991</v>
      </c>
      <c r="I84" s="54">
        <f t="shared" si="200"/>
        <v>49.145899999999997</v>
      </c>
      <c r="J84" s="186">
        <f t="shared" si="200"/>
        <v>44.295400000000001</v>
      </c>
      <c r="K84" s="267">
        <f t="shared" si="200"/>
        <v>48.869599999999998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01">+D80/C80-1</f>
        <v>4.9016108424662974E-2</v>
      </c>
      <c r="E85" s="257">
        <f t="shared" si="201"/>
        <v>0.46462424757559062</v>
      </c>
      <c r="F85" s="257">
        <f t="shared" si="201"/>
        <v>0.72124924700711834</v>
      </c>
      <c r="G85" s="257">
        <f t="shared" si="201"/>
        <v>-0.32659376669775364</v>
      </c>
      <c r="H85" s="257">
        <f t="shared" si="201"/>
        <v>-6.077077919701368E-2</v>
      </c>
      <c r="I85" s="257">
        <f t="shared" si="201"/>
        <v>-0.23396730489865381</v>
      </c>
      <c r="J85" s="258">
        <f t="shared" si="201"/>
        <v>-9.8695923769836269E-2</v>
      </c>
      <c r="K85" s="269">
        <f t="shared" si="201"/>
        <v>0.10326580186655954</v>
      </c>
    </row>
    <row r="86" spans="1:11" x14ac:dyDescent="0.25">
      <c r="A86" s="268" t="s">
        <v>304</v>
      </c>
      <c r="B86" s="256"/>
      <c r="C86" s="257"/>
      <c r="D86" s="257"/>
      <c r="E86" s="257"/>
      <c r="F86" s="257"/>
      <c r="G86" s="257"/>
      <c r="H86" s="257"/>
      <c r="I86" s="257"/>
      <c r="J86" s="258"/>
      <c r="K86" s="269"/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22" t="str">
        <f>+A23</f>
        <v>VENTA TOTAL DE VINO SIN MENCIÓN VARIETAL - Millones de litros</v>
      </c>
      <c r="B93" s="323"/>
      <c r="C93" s="323"/>
      <c r="D93" s="323"/>
      <c r="E93" s="323"/>
      <c r="F93" s="323"/>
      <c r="G93" s="323"/>
      <c r="H93" s="323"/>
      <c r="I93" s="323"/>
      <c r="J93" s="323"/>
      <c r="K93" s="324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02">+C94+1</f>
        <v>2018</v>
      </c>
      <c r="E94" s="260">
        <f t="shared" si="202"/>
        <v>2019</v>
      </c>
      <c r="F94" s="260">
        <f t="shared" si="202"/>
        <v>2020</v>
      </c>
      <c r="G94" s="260">
        <f t="shared" si="202"/>
        <v>2021</v>
      </c>
      <c r="H94" s="260">
        <f t="shared" si="202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03">+SUM(C25:C27)</f>
        <v>191.8527</v>
      </c>
      <c r="D95" s="6">
        <f t="shared" si="203"/>
        <v>186.5958</v>
      </c>
      <c r="E95" s="6">
        <f t="shared" si="203"/>
        <v>192.1542</v>
      </c>
      <c r="F95" s="6">
        <f t="shared" si="203"/>
        <v>204.63800000000001</v>
      </c>
      <c r="G95" s="6">
        <f t="shared" si="203"/>
        <v>183.80869999999999</v>
      </c>
      <c r="H95" s="6">
        <f t="shared" si="203"/>
        <v>179.20240000000001</v>
      </c>
      <c r="I95" s="6">
        <f t="shared" si="203"/>
        <v>155.25540000000001</v>
      </c>
      <c r="J95" s="67">
        <f t="shared" si="203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/>
      <c r="C96" s="6"/>
      <c r="D96" s="6"/>
      <c r="E96" s="6"/>
      <c r="F96" s="6"/>
      <c r="G96" s="6"/>
      <c r="H96" s="6"/>
      <c r="I96" s="6"/>
      <c r="J96" s="67"/>
      <c r="K96" s="265"/>
    </row>
    <row r="97" spans="1:11" x14ac:dyDescent="0.25">
      <c r="A97" s="264" t="s">
        <v>301</v>
      </c>
      <c r="B97" s="193"/>
      <c r="C97" s="6"/>
      <c r="D97" s="6"/>
      <c r="E97" s="6"/>
      <c r="F97" s="6"/>
      <c r="G97" s="6"/>
      <c r="H97" s="6"/>
      <c r="I97" s="6"/>
      <c r="J97" s="67"/>
      <c r="K97" s="265"/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04">SUM(B95:B98)</f>
        <v>215.608372</v>
      </c>
      <c r="C99" s="54">
        <f t="shared" si="204"/>
        <v>191.8527</v>
      </c>
      <c r="D99" s="54">
        <f t="shared" si="204"/>
        <v>186.5958</v>
      </c>
      <c r="E99" s="54">
        <f t="shared" si="204"/>
        <v>192.1542</v>
      </c>
      <c r="F99" s="54">
        <f t="shared" si="204"/>
        <v>204.63800000000001</v>
      </c>
      <c r="G99" s="54">
        <f t="shared" si="204"/>
        <v>183.80869999999999</v>
      </c>
      <c r="H99" s="54">
        <f t="shared" si="204"/>
        <v>179.20240000000001</v>
      </c>
      <c r="I99" s="54">
        <f t="shared" si="204"/>
        <v>155.25540000000001</v>
      </c>
      <c r="J99" s="186">
        <f t="shared" si="204"/>
        <v>148.29590000000002</v>
      </c>
      <c r="K99" s="267">
        <f t="shared" si="204"/>
        <v>151.19659999999999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05">+D95/C95-1</f>
        <v>-2.7400708981421662E-2</v>
      </c>
      <c r="E100" s="257">
        <f t="shared" si="205"/>
        <v>2.9788451830105478E-2</v>
      </c>
      <c r="F100" s="257">
        <f t="shared" si="205"/>
        <v>6.4967614551230124E-2</v>
      </c>
      <c r="G100" s="257">
        <f t="shared" si="205"/>
        <v>-0.10178608078655982</v>
      </c>
      <c r="H100" s="257">
        <f t="shared" si="205"/>
        <v>-2.5060293664010302E-2</v>
      </c>
      <c r="I100" s="257">
        <f t="shared" si="205"/>
        <v>-0.13363102279880179</v>
      </c>
      <c r="J100" s="258">
        <f t="shared" si="205"/>
        <v>-4.4826138092459167E-2</v>
      </c>
      <c r="K100" s="269">
        <f t="shared" si="205"/>
        <v>1.9560217106474154E-2</v>
      </c>
    </row>
    <row r="101" spans="1:11" x14ac:dyDescent="0.25">
      <c r="A101" s="268" t="s">
        <v>304</v>
      </c>
      <c r="B101" s="256"/>
      <c r="C101" s="257"/>
      <c r="D101" s="257"/>
      <c r="E101" s="257"/>
      <c r="F101" s="257"/>
      <c r="G101" s="257"/>
      <c r="H101" s="257"/>
      <c r="I101" s="257"/>
      <c r="J101" s="258"/>
      <c r="K101" s="269"/>
    </row>
    <row r="102" spans="1:11" x14ac:dyDescent="0.25">
      <c r="A102" s="268" t="s">
        <v>305</v>
      </c>
      <c r="B102" s="256"/>
      <c r="C102" s="257"/>
      <c r="D102" s="257"/>
      <c r="E102" s="257"/>
      <c r="F102" s="257"/>
      <c r="G102" s="257"/>
      <c r="H102" s="257"/>
      <c r="I102" s="257"/>
      <c r="J102" s="258"/>
      <c r="K102" s="269"/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22" t="str">
        <f>+A41</f>
        <v>VENTA TOTAL DE VINO ESPUMANTE Y GASIFICADO - Millones de litros</v>
      </c>
      <c r="B108" s="323"/>
      <c r="C108" s="323"/>
      <c r="D108" s="323"/>
      <c r="E108" s="323"/>
      <c r="F108" s="323"/>
      <c r="G108" s="323"/>
      <c r="H108" s="323"/>
      <c r="I108" s="323"/>
      <c r="J108" s="323"/>
      <c r="K108" s="324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06">+C109+1</f>
        <v>2018</v>
      </c>
      <c r="E109" s="260">
        <f t="shared" ref="E109" si="207">+D109+1</f>
        <v>2019</v>
      </c>
      <c r="F109" s="260">
        <f t="shared" ref="F109" si="208">+E109+1</f>
        <v>2020</v>
      </c>
      <c r="G109" s="260">
        <f t="shared" ref="G109" si="209">+F109+1</f>
        <v>2021</v>
      </c>
      <c r="H109" s="260">
        <f t="shared" ref="H109" si="210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11">+SUM(C43:C45)</f>
        <v>7.1035900000000005</v>
      </c>
      <c r="D110" s="6">
        <f t="shared" si="211"/>
        <v>6.2094000000000005</v>
      </c>
      <c r="E110" s="6">
        <f t="shared" si="211"/>
        <v>4.5883000000000003</v>
      </c>
      <c r="F110" s="6">
        <f t="shared" si="211"/>
        <v>4.5633999999999997</v>
      </c>
      <c r="G110" s="6">
        <f t="shared" si="211"/>
        <v>5.8170999999999999</v>
      </c>
      <c r="H110" s="6">
        <f t="shared" si="211"/>
        <v>7.2996000000000008</v>
      </c>
      <c r="I110" s="6">
        <f t="shared" si="211"/>
        <v>6.4877000000000002</v>
      </c>
      <c r="J110" s="67">
        <f t="shared" si="211"/>
        <v>4.9010999999999996</v>
      </c>
      <c r="K110" s="265">
        <f t="shared" si="211"/>
        <v>4.7995999999999999</v>
      </c>
    </row>
    <row r="111" spans="1:11" x14ac:dyDescent="0.25">
      <c r="A111" s="264" t="s">
        <v>300</v>
      </c>
      <c r="B111" s="193"/>
      <c r="C111" s="6"/>
      <c r="D111" s="6"/>
      <c r="E111" s="6"/>
      <c r="F111" s="6"/>
      <c r="G111" s="6"/>
      <c r="H111" s="6"/>
      <c r="I111" s="6"/>
      <c r="J111" s="67"/>
      <c r="K111" s="265"/>
    </row>
    <row r="112" spans="1:11" x14ac:dyDescent="0.25">
      <c r="A112" s="264" t="s">
        <v>301</v>
      </c>
      <c r="B112" s="193"/>
      <c r="C112" s="6"/>
      <c r="D112" s="6"/>
      <c r="E112" s="6"/>
      <c r="F112" s="6"/>
      <c r="G112" s="6"/>
      <c r="H112" s="6"/>
      <c r="I112" s="6"/>
      <c r="J112" s="67"/>
      <c r="K112" s="265"/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12">SUM(B110:B113)</f>
        <v>8.3162969999999987</v>
      </c>
      <c r="C114" s="54">
        <f t="shared" si="212"/>
        <v>7.1035900000000005</v>
      </c>
      <c r="D114" s="54">
        <f t="shared" si="212"/>
        <v>6.2094000000000005</v>
      </c>
      <c r="E114" s="54">
        <f t="shared" si="212"/>
        <v>4.5883000000000003</v>
      </c>
      <c r="F114" s="54">
        <f t="shared" si="212"/>
        <v>4.5633999999999997</v>
      </c>
      <c r="G114" s="54">
        <f t="shared" si="212"/>
        <v>5.8170999999999999</v>
      </c>
      <c r="H114" s="54">
        <f t="shared" si="212"/>
        <v>7.2996000000000008</v>
      </c>
      <c r="I114" s="54">
        <f t="shared" si="212"/>
        <v>6.4877000000000002</v>
      </c>
      <c r="J114" s="186">
        <f t="shared" si="212"/>
        <v>4.9010999999999996</v>
      </c>
      <c r="K114" s="267">
        <f t="shared" si="212"/>
        <v>4.7995999999999999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213">+D110/C110-1</f>
        <v>-0.12587860504336534</v>
      </c>
      <c r="E115" s="257">
        <f t="shared" si="213"/>
        <v>-0.26107192321319295</v>
      </c>
      <c r="F115" s="257">
        <f t="shared" si="213"/>
        <v>-5.4268465444718972E-3</v>
      </c>
      <c r="G115" s="257">
        <f t="shared" si="213"/>
        <v>0.27472936845334628</v>
      </c>
      <c r="H115" s="257">
        <f t="shared" si="213"/>
        <v>0.25485207405752019</v>
      </c>
      <c r="I115" s="257">
        <f t="shared" si="213"/>
        <v>-0.11122527261767778</v>
      </c>
      <c r="J115" s="258">
        <f t="shared" si="213"/>
        <v>-0.24455508115356761</v>
      </c>
      <c r="K115" s="269">
        <f t="shared" si="213"/>
        <v>-2.0709636612189053E-2</v>
      </c>
    </row>
    <row r="116" spans="1:11" x14ac:dyDescent="0.25">
      <c r="A116" s="268" t="s">
        <v>304</v>
      </c>
      <c r="B116" s="256"/>
      <c r="C116" s="257"/>
      <c r="D116" s="257"/>
      <c r="E116" s="257"/>
      <c r="F116" s="257"/>
      <c r="G116" s="257"/>
      <c r="H116" s="257"/>
      <c r="I116" s="257"/>
      <c r="J116" s="258"/>
      <c r="K116" s="269"/>
    </row>
    <row r="117" spans="1:11" x14ac:dyDescent="0.25">
      <c r="A117" s="268" t="s">
        <v>305</v>
      </c>
      <c r="B117" s="256"/>
      <c r="C117" s="257"/>
      <c r="D117" s="257"/>
      <c r="E117" s="257"/>
      <c r="F117" s="257"/>
      <c r="G117" s="257"/>
      <c r="H117" s="257"/>
      <c r="I117" s="257"/>
      <c r="J117" s="258"/>
      <c r="K117" s="269"/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38" t="str">
        <f>+A59</f>
        <v>VENTA TOTAL TOTAL DE VINO - Millones de litros</v>
      </c>
      <c r="B124" s="339"/>
      <c r="C124" s="339"/>
      <c r="D124" s="339"/>
      <c r="E124" s="339"/>
      <c r="F124" s="339"/>
      <c r="G124" s="339"/>
      <c r="H124" s="339"/>
      <c r="I124" s="339"/>
      <c r="J124" s="339"/>
      <c r="K124" s="340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214">+C125+1</f>
        <v>2018</v>
      </c>
      <c r="E125" s="260">
        <f t="shared" si="214"/>
        <v>2019</v>
      </c>
      <c r="F125" s="260">
        <f t="shared" si="214"/>
        <v>2020</v>
      </c>
      <c r="G125" s="260">
        <f t="shared" si="214"/>
        <v>2021</v>
      </c>
      <c r="H125" s="260">
        <f t="shared" si="214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215">+SUM(C61:C63)</f>
        <v>238.10749999999999</v>
      </c>
      <c r="D126" s="6">
        <f t="shared" si="215"/>
        <v>233.87389999999999</v>
      </c>
      <c r="E126" s="6">
        <f t="shared" si="215"/>
        <v>256.19889999999998</v>
      </c>
      <c r="F126" s="6">
        <f t="shared" si="215"/>
        <v>311.88650000000001</v>
      </c>
      <c r="G126" s="6">
        <f t="shared" si="215"/>
        <v>258.90899999999999</v>
      </c>
      <c r="H126" s="6">
        <f t="shared" si="215"/>
        <v>251.63490000000002</v>
      </c>
      <c r="I126" s="6">
        <f t="shared" si="215"/>
        <v>211.41819999999998</v>
      </c>
      <c r="J126" s="67">
        <f t="shared" si="215"/>
        <v>198.3373</v>
      </c>
      <c r="K126" s="265">
        <f t="shared" si="215"/>
        <v>205.452</v>
      </c>
    </row>
    <row r="127" spans="1:11" x14ac:dyDescent="0.25">
      <c r="A127" s="264" t="s">
        <v>300</v>
      </c>
      <c r="B127" s="193"/>
      <c r="C127" s="6"/>
      <c r="D127" s="6"/>
      <c r="E127" s="6"/>
      <c r="F127" s="6"/>
      <c r="G127" s="6"/>
      <c r="H127" s="6"/>
      <c r="I127" s="6"/>
      <c r="J127" s="67"/>
      <c r="K127" s="265"/>
    </row>
    <row r="128" spans="1:11" x14ac:dyDescent="0.25">
      <c r="A128" s="264" t="s">
        <v>301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216">SUM(B126:B129)</f>
        <v>270.97164899999996</v>
      </c>
      <c r="C130" s="54">
        <f t="shared" si="216"/>
        <v>238.10749999999999</v>
      </c>
      <c r="D130" s="54">
        <f t="shared" si="216"/>
        <v>233.87389999999999</v>
      </c>
      <c r="E130" s="54">
        <f t="shared" si="216"/>
        <v>256.19889999999998</v>
      </c>
      <c r="F130" s="54">
        <f t="shared" si="216"/>
        <v>311.88650000000001</v>
      </c>
      <c r="G130" s="54">
        <f t="shared" si="216"/>
        <v>258.90899999999999</v>
      </c>
      <c r="H130" s="54">
        <f t="shared" si="216"/>
        <v>251.63490000000002</v>
      </c>
      <c r="I130" s="54">
        <f t="shared" si="216"/>
        <v>211.41819999999998</v>
      </c>
      <c r="J130" s="186">
        <f t="shared" si="216"/>
        <v>198.3373</v>
      </c>
      <c r="K130" s="267">
        <f t="shared" si="216"/>
        <v>205.452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217">+D126/C126-1</f>
        <v>-1.7780204319477577E-2</v>
      </c>
      <c r="E131" s="257">
        <f t="shared" si="217"/>
        <v>9.5457423851058154E-2</v>
      </c>
      <c r="F131" s="257">
        <f t="shared" si="217"/>
        <v>0.21736080834070726</v>
      </c>
      <c r="G131" s="257">
        <f t="shared" si="217"/>
        <v>-0.16986147204191271</v>
      </c>
      <c r="H131" s="257">
        <f t="shared" si="217"/>
        <v>-2.8095199471628973E-2</v>
      </c>
      <c r="I131" s="257">
        <f t="shared" si="217"/>
        <v>-0.15982163046540854</v>
      </c>
      <c r="J131" s="258">
        <f t="shared" si="217"/>
        <v>-6.1872156701740844E-2</v>
      </c>
      <c r="K131" s="269">
        <f t="shared" si="217"/>
        <v>3.5871719540399027E-2</v>
      </c>
    </row>
    <row r="132" spans="1:11" x14ac:dyDescent="0.25">
      <c r="A132" s="268" t="s">
        <v>304</v>
      </c>
      <c r="B132" s="256"/>
      <c r="C132" s="257"/>
      <c r="D132" s="257"/>
      <c r="E132" s="257"/>
      <c r="F132" s="257"/>
      <c r="G132" s="257"/>
      <c r="H132" s="257"/>
      <c r="I132" s="257"/>
      <c r="J132" s="258"/>
      <c r="K132" s="269"/>
    </row>
    <row r="133" spans="1:11" x14ac:dyDescent="0.25">
      <c r="A133" s="268" t="s">
        <v>305</v>
      </c>
      <c r="B133" s="256"/>
      <c r="C133" s="257"/>
      <c r="D133" s="257"/>
      <c r="E133" s="257"/>
      <c r="F133" s="257"/>
      <c r="G133" s="257"/>
      <c r="H133" s="257"/>
      <c r="I133" s="257"/>
      <c r="J133" s="258"/>
      <c r="K133" s="269"/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</sheetData>
  <mergeCells count="15"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  <mergeCell ref="A78:K78"/>
    <mergeCell ref="A93:K93"/>
    <mergeCell ref="A124:K124"/>
    <mergeCell ref="A108:K108"/>
    <mergeCell ref="A41:L41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AD141" sqref="AD141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31" t="s">
        <v>194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  <c r="AC1" s="178"/>
    </row>
    <row r="2" spans="1:29" ht="15.75" x14ac:dyDescent="0.25">
      <c r="A2" s="331" t="s">
        <v>22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9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25" t="s">
        <v>291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290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31265.399933630604</v>
      </c>
      <c r="C7" s="160">
        <f>+'[1]10.PRECIO DEL VINO DE TRASLADO'!V449</f>
        <v>73993.786813582672</v>
      </c>
      <c r="D7" s="160">
        <f>+'[1]10.PRECIO DEL VINO DE TRASLADO'!V461</f>
        <v>64742.340869900421</v>
      </c>
      <c r="E7" s="160">
        <f>+'[1]10.PRECIO DEL VINO DE TRASLADO'!V473</f>
        <v>35226.972846387333</v>
      </c>
      <c r="F7" s="160">
        <f>+'[1]10.PRECIO DEL VINO DE TRASLADO'!V485</f>
        <v>22567.202202879023</v>
      </c>
      <c r="G7" s="160">
        <f>+'[1]10.PRECIO DEL VINO DE TRASLADO'!V497</f>
        <v>40758.683562651706</v>
      </c>
      <c r="H7" s="160">
        <f>+'[1]10.PRECIO DEL VINO DE TRASLADO'!V509</f>
        <v>58801.394652408773</v>
      </c>
      <c r="I7" s="160">
        <f>+'[1]10.PRECIO DEL VINO DE TRASLADO'!V521</f>
        <v>56633.771925235771</v>
      </c>
      <c r="J7" s="161">
        <f>+'[1]10.PRECIO DEL VINO DE TRASLADO'!V533</f>
        <v>44425.609482227381</v>
      </c>
      <c r="K7" s="162">
        <f>+'[1]10.PRECIO DEL VINO DE TRASLADO'!V545</f>
        <v>32393.493621197256</v>
      </c>
      <c r="L7" s="7">
        <f>+K7/J7-1</f>
        <v>-0.27083738414086622</v>
      </c>
      <c r="M7" s="2"/>
      <c r="N7" s="42" t="s">
        <v>10</v>
      </c>
      <c r="O7" s="160">
        <f>+AVERAGE('[1]10.PRECIO DEL VINO DE TRASLADO'!$V$426:$V$437)</f>
        <v>32808.964197800211</v>
      </c>
      <c r="P7" s="160">
        <f t="shared" ref="P7:X7" si="2">+(SUM(C7)+SUM(B8:B18))/12</f>
        <v>61185.134598753262</v>
      </c>
      <c r="Q7" s="160">
        <f t="shared" si="2"/>
        <v>70900.94661941391</v>
      </c>
      <c r="R7" s="160">
        <f t="shared" si="2"/>
        <v>48664.731662247068</v>
      </c>
      <c r="S7" s="160">
        <f t="shared" si="2"/>
        <v>24908.939709730039</v>
      </c>
      <c r="T7" s="160">
        <f t="shared" si="2"/>
        <v>28412.44952640546</v>
      </c>
      <c r="U7" s="160">
        <f t="shared" si="2"/>
        <v>51445.740359800024</v>
      </c>
      <c r="V7" s="160">
        <f t="shared" si="2"/>
        <v>53556.116646337519</v>
      </c>
      <c r="W7" s="161">
        <f t="shared" si="2"/>
        <v>58663.212511031597</v>
      </c>
      <c r="X7" s="162">
        <f t="shared" si="2"/>
        <v>42854.347410608265</v>
      </c>
      <c r="Y7" s="78">
        <f>+X7/W7-1</f>
        <v>-0.26948515813808327</v>
      </c>
      <c r="Z7" s="7">
        <f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37265.509212813886</v>
      </c>
      <c r="C8" s="160">
        <f>+'[1]10.PRECIO DEL VINO DE TRASLADO'!V450</f>
        <v>83458.740159335634</v>
      </c>
      <c r="D8" s="160">
        <f>+'[1]10.PRECIO DEL VINO DE TRASLADO'!V462</f>
        <v>62250.129605667556</v>
      </c>
      <c r="E8" s="160">
        <f>+'[1]10.PRECIO DEL VINO DE TRASLADO'!V474</f>
        <v>34897.989542961965</v>
      </c>
      <c r="F8" s="160">
        <f>+'[1]10.PRECIO DEL VINO DE TRASLADO'!V486</f>
        <v>25730.165681292976</v>
      </c>
      <c r="G8" s="160">
        <f>+'[1]10.PRECIO DEL VINO DE TRASLADO'!V498</f>
        <v>43551.01051040164</v>
      </c>
      <c r="H8" s="160">
        <f>+'[1]10.PRECIO DEL VINO DE TRASLADO'!V510</f>
        <v>45838.168507986527</v>
      </c>
      <c r="I8" s="160">
        <f>+'[1]10.PRECIO DEL VINO DE TRASLADO'!V522</f>
        <v>61835.004453495814</v>
      </c>
      <c r="J8" s="161">
        <f>+'[1]10.PRECIO DEL VINO DE TRASLADO'!V534</f>
        <v>47789.792944207758</v>
      </c>
      <c r="K8" s="162">
        <f>+'[1]10.PRECIO DEL VINO DE TRASLADO'!V546</f>
        <v>33788.650407875371</v>
      </c>
      <c r="L8" s="7">
        <f>+K8/J8-1</f>
        <v>-0.29297349232456471</v>
      </c>
      <c r="M8" s="2"/>
      <c r="N8" s="42" t="s">
        <v>11</v>
      </c>
      <c r="O8" s="160">
        <f>+AVERAGE('[1]10.PRECIO DEL VINO DE TRASLADO'!$V$426:$V$437)</f>
        <v>32808.964197800211</v>
      </c>
      <c r="P8" s="160">
        <f t="shared" ref="P8:X8" si="3">+(SUM(C7:C8)+SUM(B9:B18))/12</f>
        <v>65034.570510963415</v>
      </c>
      <c r="Q8" s="160">
        <f t="shared" si="3"/>
        <v>69133.562406608224</v>
      </c>
      <c r="R8" s="160">
        <f t="shared" si="3"/>
        <v>46385.386657021612</v>
      </c>
      <c r="S8" s="160">
        <f t="shared" si="3"/>
        <v>24144.954387924288</v>
      </c>
      <c r="T8" s="160">
        <f t="shared" si="3"/>
        <v>29897.519928831181</v>
      </c>
      <c r="U8" s="160">
        <f t="shared" si="3"/>
        <v>51636.336859598763</v>
      </c>
      <c r="V8" s="160">
        <f t="shared" si="3"/>
        <v>54889.186308463301</v>
      </c>
      <c r="W8" s="161">
        <f t="shared" si="3"/>
        <v>57492.778218590938</v>
      </c>
      <c r="X8" s="162">
        <f t="shared" si="3"/>
        <v>41687.585532580561</v>
      </c>
      <c r="Y8" s="78">
        <f>+X8/W8-1</f>
        <v>-0.27490744360827546</v>
      </c>
      <c r="Z8" s="7">
        <f>+POWER(X8/S8,0.2)-1</f>
        <v>0.11541394712227881</v>
      </c>
    </row>
    <row r="9" spans="1:29" x14ac:dyDescent="0.25">
      <c r="A9" s="42" t="s">
        <v>0</v>
      </c>
      <c r="B9" s="160">
        <f>+'[1]10.PRECIO DEL VINO DE TRASLADO'!V439</f>
        <v>45737.362454715862</v>
      </c>
      <c r="C9" s="160">
        <f>+'[1]10.PRECIO DEL VINO DE TRASLADO'!V451</f>
        <v>77686.119858398699</v>
      </c>
      <c r="D9" s="160">
        <f>+'[1]10.PRECIO DEL VINO DE TRASLADO'!V463</f>
        <v>61760.487692072908</v>
      </c>
      <c r="E9" s="160">
        <f>+'[1]10.PRECIO DEL VINO DE TRASLADO'!V475</f>
        <v>29519.122648094548</v>
      </c>
      <c r="F9" s="160">
        <f>+'[1]10.PRECIO DEL VINO DE TRASLADO'!V487</f>
        <v>23499.682524386222</v>
      </c>
      <c r="G9" s="160">
        <f>+'[1]10.PRECIO DEL VINO DE TRASLADO'!V499</f>
        <v>45758.584138373662</v>
      </c>
      <c r="H9" s="160">
        <f>+'[1]10.PRECIO DEL VINO DE TRASLADO'!V511</f>
        <v>51443.509905749022</v>
      </c>
      <c r="I9" s="160">
        <f>+'[1]10.PRECIO DEL VINO DE TRASLADO'!V523</f>
        <v>72702.927811004483</v>
      </c>
      <c r="J9" s="161">
        <f>+'[1]10.PRECIO DEL VINO DE TRASLADO'!V535</f>
        <v>50537.603131557851</v>
      </c>
      <c r="K9" s="162">
        <f>+'[1]10.PRECIO DEL VINO DE TRASLADO'!V547</f>
        <v>37168.397393827792</v>
      </c>
      <c r="L9" s="7">
        <f>+K9/J9-1</f>
        <v>-0.26453976661551948</v>
      </c>
      <c r="M9" s="2"/>
      <c r="N9" s="42" t="s">
        <v>0</v>
      </c>
      <c r="O9" s="160">
        <f>+AVERAGE('[1]10.PRECIO DEL VINO DE TRASLADO'!$V$426:$V$437)</f>
        <v>32808.964197800211</v>
      </c>
      <c r="P9" s="160">
        <f t="shared" ref="P9:X9" si="4">+(SUM(C7:C9)+SUM(B10:B18))/12</f>
        <v>67696.966961270315</v>
      </c>
      <c r="Q9" s="160">
        <f t="shared" si="4"/>
        <v>67806.426392747744</v>
      </c>
      <c r="R9" s="160">
        <f t="shared" si="4"/>
        <v>43698.606236690073</v>
      </c>
      <c r="S9" s="160">
        <f t="shared" si="4"/>
        <v>23643.334377615265</v>
      </c>
      <c r="T9" s="160">
        <f t="shared" si="4"/>
        <v>31752.428396663472</v>
      </c>
      <c r="U9" s="160">
        <f t="shared" si="4"/>
        <v>52110.080673546712</v>
      </c>
      <c r="V9" s="160">
        <f t="shared" si="4"/>
        <v>56660.804467234586</v>
      </c>
      <c r="W9" s="161">
        <f t="shared" si="4"/>
        <v>55645.667828637037</v>
      </c>
      <c r="X9" s="162">
        <f t="shared" si="4"/>
        <v>40573.485054436394</v>
      </c>
      <c r="Y9" s="78">
        <f>+X9/W9-1</f>
        <v>-0.27085994943246983</v>
      </c>
      <c r="Z9" s="7">
        <f>+POWER(X9/S9,0.2)-1</f>
        <v>0.1140552195731801</v>
      </c>
    </row>
    <row r="10" spans="1:29" x14ac:dyDescent="0.25">
      <c r="A10" s="42" t="s">
        <v>1</v>
      </c>
      <c r="B10" s="160">
        <f>+'[1]10.PRECIO DEL VINO DE TRASLADO'!V440</f>
        <v>44758.650368905146</v>
      </c>
      <c r="C10" s="160">
        <f>+'[1]10.PRECIO DEL VINO DE TRASLADO'!V452</f>
        <v>75090.2573913284</v>
      </c>
      <c r="D10" s="160">
        <f>+'[1]10.PRECIO DEL VINO DE TRASLADO'!V464</f>
        <v>57939.856579074971</v>
      </c>
      <c r="E10" s="160">
        <f>+'[1]10.PRECIO DEL VINO DE TRASLADO'!V476</f>
        <v>25788.321717556104</v>
      </c>
      <c r="F10" s="160">
        <f>+'[1]10.PRECIO DEL VINO DE TRASLADO'!V488</f>
        <v>22089.012726213139</v>
      </c>
      <c r="G10" s="160">
        <f>+'[1]10.PRECIO DEL VINO DE TRASLADO'!V500</f>
        <v>53976.19728536516</v>
      </c>
      <c r="H10" s="160">
        <f>+'[1]10.PRECIO DEL VINO DE TRASLADO'!V512</f>
        <v>65129.346821550862</v>
      </c>
      <c r="I10" s="160">
        <f>+'[1]10.PRECIO DEL VINO DE TRASLADO'!V524</f>
        <v>87836.956331916095</v>
      </c>
      <c r="J10" s="161">
        <f>+'[1]10.PRECIO DEL VINO DE TRASLADO'!V536</f>
        <v>49522.710241660119</v>
      </c>
      <c r="K10" s="162">
        <f>+'[2]10.PRECIO DEL VINO DE TRASLADO'!V548</f>
        <v>33496.839495587541</v>
      </c>
      <c r="L10" s="7">
        <f>+K10/J10-1</f>
        <v>-0.32360649624929239</v>
      </c>
      <c r="M10" s="2"/>
      <c r="N10" s="42" t="s">
        <v>1</v>
      </c>
      <c r="O10" s="160">
        <f>+AVERAGE('[1]10.PRECIO DEL VINO DE TRASLADO'!$V$426:$V$437)</f>
        <v>32808.964197800211</v>
      </c>
      <c r="P10" s="160">
        <f t="shared" ref="P10:X10" si="5">+(SUM(C7:C10)+SUM(B11:B18))/12</f>
        <v>70224.600879805585</v>
      </c>
      <c r="Q10" s="160">
        <f t="shared" si="5"/>
        <v>66377.22632505995</v>
      </c>
      <c r="R10" s="160">
        <f t="shared" si="5"/>
        <v>41019.311664896835</v>
      </c>
      <c r="S10" s="160">
        <f t="shared" si="5"/>
        <v>23335.058628336683</v>
      </c>
      <c r="T10" s="160">
        <f t="shared" si="5"/>
        <v>34409.693776592809</v>
      </c>
      <c r="U10" s="160">
        <f t="shared" si="5"/>
        <v>53039.509801562199</v>
      </c>
      <c r="V10" s="160">
        <f t="shared" si="5"/>
        <v>58553.105259765027</v>
      </c>
      <c r="W10" s="161">
        <f t="shared" si="5"/>
        <v>52452.813987782378</v>
      </c>
      <c r="X10" s="162">
        <f t="shared" si="5"/>
        <v>39237.995825597012</v>
      </c>
      <c r="Y10" s="78">
        <f>+X10/W10-1</f>
        <v>-0.25193725860472305</v>
      </c>
      <c r="Z10" s="7">
        <f>+POWER(X10/S10,0.2)-1</f>
        <v>0.10953136596334723</v>
      </c>
    </row>
    <row r="11" spans="1:29" x14ac:dyDescent="0.25">
      <c r="A11" s="42" t="s">
        <v>2</v>
      </c>
      <c r="B11" s="160">
        <f>+'[1]10.PRECIO DEL VINO DE TRASLADO'!V441</f>
        <v>54967.793782189598</v>
      </c>
      <c r="C11" s="160">
        <f>+'[1]10.PRECIO DEL VINO DE TRASLADO'!V453</f>
        <v>68843.222492128727</v>
      </c>
      <c r="D11" s="160">
        <f>+'[1]10.PRECIO DEL VINO DE TRASLADO'!V465</f>
        <v>56860.194656841464</v>
      </c>
      <c r="E11" s="160">
        <f>+'[1]10.PRECIO DEL VINO DE TRASLADO'!V477</f>
        <v>23124.176807333894</v>
      </c>
      <c r="F11" s="160">
        <f>+'[1]10.PRECIO DEL VINO DE TRASLADO'!V489</f>
        <v>21762.678316773272</v>
      </c>
      <c r="G11" s="160">
        <f>+'[1]10.PRECIO DEL VINO DE TRASLADO'!V501</f>
        <v>55155.397082867021</v>
      </c>
      <c r="H11" s="160">
        <f>+'[1]10.PRECIO DEL VINO DE TRASLADO'!V513</f>
        <v>66856.974033846185</v>
      </c>
      <c r="I11" s="160">
        <f>+'[1]10.PRECIO DEL VINO DE TRASLADO'!V525</f>
        <v>69970.137751140166</v>
      </c>
      <c r="J11" s="161">
        <f>+'[1]10.PRECIO DEL VINO DE TRASLADO'!V537</f>
        <v>48858.903318463337</v>
      </c>
      <c r="K11" s="162"/>
      <c r="L11" s="7"/>
      <c r="M11" s="2"/>
      <c r="N11" s="42" t="s">
        <v>2</v>
      </c>
      <c r="O11" s="160">
        <f>+AVERAGE('[1]10.PRECIO DEL VINO DE TRASLADO'!$V$426:$V$437)</f>
        <v>32808.964197800211</v>
      </c>
      <c r="P11" s="160">
        <f t="shared" ref="P11:W11" si="6">+(SUM(C7:C11)+SUM(B12:B18))/12</f>
        <v>71380.886605633845</v>
      </c>
      <c r="Q11" s="160">
        <f t="shared" si="6"/>
        <v>65378.640672119342</v>
      </c>
      <c r="R11" s="160">
        <f t="shared" si="6"/>
        <v>38207.976844104531</v>
      </c>
      <c r="S11" s="160">
        <f t="shared" si="6"/>
        <v>23221.600420789968</v>
      </c>
      <c r="T11" s="160">
        <f t="shared" si="6"/>
        <v>37192.420340433957</v>
      </c>
      <c r="U11" s="160">
        <f t="shared" si="6"/>
        <v>54014.641214143798</v>
      </c>
      <c r="V11" s="160">
        <f t="shared" si="6"/>
        <v>58812.535569539526</v>
      </c>
      <c r="W11" s="161">
        <f t="shared" si="6"/>
        <v>50693.544451725982</v>
      </c>
      <c r="X11" s="162"/>
      <c r="Y11" s="78"/>
      <c r="Z11" s="7"/>
    </row>
    <row r="12" spans="1:29" x14ac:dyDescent="0.25">
      <c r="A12" s="42" t="s">
        <v>3</v>
      </c>
      <c r="B12" s="160">
        <f>+'[1]10.PRECIO DEL VINO DE TRASLADO'!V442</f>
        <v>58581.402144083222</v>
      </c>
      <c r="C12" s="160">
        <f>+'[1]10.PRECIO DEL VINO DE TRASLADO'!V454</f>
        <v>77630.287435181468</v>
      </c>
      <c r="D12" s="160">
        <f>+'[1]10.PRECIO DEL VINO DE TRASLADO'!V466</f>
        <v>55157.867490708748</v>
      </c>
      <c r="E12" s="160">
        <f>+'[1]10.PRECIO DEL VINO DE TRASLADO'!V478</f>
        <v>25239.068284595582</v>
      </c>
      <c r="F12" s="160">
        <f>+'[1]10.PRECIO DEL VINO DE TRASLADO'!V490</f>
        <v>23793.654466981927</v>
      </c>
      <c r="G12" s="160">
        <f>+'[1]10.PRECIO DEL VINO DE TRASLADO'!V502</f>
        <v>58298.525947163194</v>
      </c>
      <c r="H12" s="160">
        <f>+'[1]10.PRECIO DEL VINO DE TRASLADO'!V514</f>
        <v>52501.890647389831</v>
      </c>
      <c r="I12" s="160">
        <f>+'[1]10.PRECIO DEL VINO DE TRASLADO'!V526</f>
        <v>54086.366426396075</v>
      </c>
      <c r="J12" s="161">
        <f>+'[1]10.PRECIO DEL VINO DE TRASLADO'!V538</f>
        <v>55363.585026266672</v>
      </c>
      <c r="K12" s="162"/>
      <c r="L12" s="7"/>
      <c r="M12" s="2"/>
      <c r="N12" s="42" t="s">
        <v>3</v>
      </c>
      <c r="O12" s="160">
        <f>+AVERAGE('[1]10.PRECIO DEL VINO DE TRASLADO'!$V$426:$V$437)</f>
        <v>32808.964197800211</v>
      </c>
      <c r="P12" s="160">
        <f t="shared" ref="P12:W12" si="7">+(SUM(C7:C12)+SUM(B13:B18))/12</f>
        <v>72968.293713225372</v>
      </c>
      <c r="Q12" s="160">
        <f t="shared" si="7"/>
        <v>63505.93901007995</v>
      </c>
      <c r="R12" s="160">
        <f t="shared" si="7"/>
        <v>35714.743576928442</v>
      </c>
      <c r="S12" s="160">
        <f t="shared" si="7"/>
        <v>23101.149269322166</v>
      </c>
      <c r="T12" s="160">
        <f t="shared" si="7"/>
        <v>40067.826297115731</v>
      </c>
      <c r="U12" s="160">
        <f t="shared" si="7"/>
        <v>53531.58827249601</v>
      </c>
      <c r="V12" s="160">
        <f t="shared" si="7"/>
        <v>58944.57521779005</v>
      </c>
      <c r="W12" s="161">
        <f t="shared" si="7"/>
        <v>50799.979335048527</v>
      </c>
      <c r="X12" s="162"/>
      <c r="Y12" s="78"/>
      <c r="Z12" s="7"/>
    </row>
    <row r="13" spans="1:29" x14ac:dyDescent="0.25">
      <c r="A13" s="42" t="s">
        <v>4</v>
      </c>
      <c r="B13" s="160">
        <f>+'[1]10.PRECIO DEL VINO DE TRASLADO'!V443</f>
        <v>59722.541389236707</v>
      </c>
      <c r="C13" s="160">
        <f>+'[1]10.PRECIO DEL VINO DE TRASLADO'!V455</f>
        <v>65384.867300685422</v>
      </c>
      <c r="D13" s="160">
        <f>+'[1]10.PRECIO DEL VINO DE TRASLADO'!V467</f>
        <v>51228.575487618749</v>
      </c>
      <c r="E13" s="160">
        <f>+'[1]10.PRECIO DEL VINO DE TRASLADO'!V479</f>
        <v>22640.3324802594</v>
      </c>
      <c r="F13" s="160">
        <f>+'[1]10.PRECIO DEL VINO DE TRASLADO'!V491</f>
        <v>25624.684269088557</v>
      </c>
      <c r="G13" s="160">
        <f>+'[1]10.PRECIO DEL VINO DE TRASLADO'!V503</f>
        <v>57933.937513841425</v>
      </c>
      <c r="H13" s="160">
        <f>+'[1]10.PRECIO DEL VINO DE TRASLADO'!V515</f>
        <v>58351.46717441806</v>
      </c>
      <c r="I13" s="160">
        <f>+'[1]10.PRECIO DEL VINO DE TRASLADO'!V527</f>
        <v>76686.003720207562</v>
      </c>
      <c r="J13" s="161">
        <f>+'[1]10.PRECIO DEL VINO DE TRASLADO'!V539</f>
        <v>40455.908280013988</v>
      </c>
      <c r="K13" s="162"/>
      <c r="L13" s="7"/>
      <c r="M13" s="2"/>
      <c r="N13" s="42" t="s">
        <v>4</v>
      </c>
      <c r="O13" s="160">
        <f>+AVERAGE('[1]10.PRECIO DEL VINO DE TRASLADO'!$V$426:$V$437)</f>
        <v>32808.964197800211</v>
      </c>
      <c r="P13" s="160">
        <f t="shared" ref="P13:W13" si="8">+(SUM(C7:C13)+SUM(B14:B18))/12</f>
        <v>73440.154205846091</v>
      </c>
      <c r="Q13" s="160">
        <f t="shared" si="8"/>
        <v>62326.248025657733</v>
      </c>
      <c r="R13" s="160">
        <f t="shared" si="8"/>
        <v>33332.389992981822</v>
      </c>
      <c r="S13" s="160">
        <f t="shared" si="8"/>
        <v>23349.84525172459</v>
      </c>
      <c r="T13" s="160">
        <f t="shared" si="8"/>
        <v>42760.264067511795</v>
      </c>
      <c r="U13" s="160">
        <f t="shared" si="8"/>
        <v>53566.382410877384</v>
      </c>
      <c r="V13" s="160">
        <f t="shared" si="8"/>
        <v>60472.453263272502</v>
      </c>
      <c r="W13" s="161">
        <f t="shared" si="8"/>
        <v>47780.804715032398</v>
      </c>
      <c r="X13" s="162"/>
      <c r="Y13" s="78"/>
      <c r="Z13" s="7"/>
    </row>
    <row r="14" spans="1:29" x14ac:dyDescent="0.25">
      <c r="A14" s="42" t="s">
        <v>5</v>
      </c>
      <c r="B14" s="160">
        <f>+'[1]10.PRECIO DEL VINO DE TRASLADO'!V444</f>
        <v>61200.610390039699</v>
      </c>
      <c r="C14" s="160">
        <f>+'[1]10.PRECIO DEL VINO DE TRASLADO'!V456</f>
        <v>66639.914939371418</v>
      </c>
      <c r="D14" s="160">
        <f>+'[1]10.PRECIO DEL VINO DE TRASLADO'!V468</f>
        <v>46546.869792518184</v>
      </c>
      <c r="E14" s="160">
        <f>+'[1]10.PRECIO DEL VINO DE TRASLADO'!V480</f>
        <v>22181.427409723703</v>
      </c>
      <c r="F14" s="160">
        <f>+'[1]10.PRECIO DEL VINO DE TRASLADO'!V492</f>
        <v>31190.746966480459</v>
      </c>
      <c r="G14" s="160">
        <f>+'[1]10.PRECIO DEL VINO DE TRASLADO'!V504</f>
        <v>54533.405400749674</v>
      </c>
      <c r="H14" s="160">
        <f>+'[1]10.PRECIO DEL VINO DE TRASLADO'!V516</f>
        <v>48301.095943786022</v>
      </c>
      <c r="I14" s="160">
        <f>+'[1]10.PRECIO DEL VINO DE TRASLADO'!V528</f>
        <v>50609.750066757915</v>
      </c>
      <c r="J14" s="161">
        <f>+'[1]10.PRECIO DEL VINO DE TRASLADO'!V540</f>
        <v>44523.871176946624</v>
      </c>
      <c r="K14" s="162"/>
      <c r="L14" s="7"/>
      <c r="M14" s="2"/>
      <c r="N14" s="42" t="s">
        <v>5</v>
      </c>
      <c r="O14" s="160">
        <f>+AVERAGE('[1]10.PRECIO DEL VINO DE TRASLADO'!$V$426:$V$437)</f>
        <v>32808.964197800211</v>
      </c>
      <c r="P14" s="160">
        <f t="shared" ref="P14:W14" si="9">+(SUM(C7:C14)+SUM(B15:B18))/12</f>
        <v>73893.429584957077</v>
      </c>
      <c r="Q14" s="160">
        <f t="shared" si="9"/>
        <v>60651.827596753305</v>
      </c>
      <c r="R14" s="160">
        <f t="shared" si="9"/>
        <v>31301.936461082281</v>
      </c>
      <c r="S14" s="160">
        <f t="shared" si="9"/>
        <v>24100.621881454321</v>
      </c>
      <c r="T14" s="160">
        <f t="shared" si="9"/>
        <v>44705.485603700894</v>
      </c>
      <c r="U14" s="160">
        <f t="shared" si="9"/>
        <v>53047.023289463752</v>
      </c>
      <c r="V14" s="160">
        <f t="shared" si="9"/>
        <v>60664.841106853499</v>
      </c>
      <c r="W14" s="161">
        <f t="shared" si="9"/>
        <v>47273.648140881465</v>
      </c>
      <c r="X14" s="162"/>
      <c r="Y14" s="78"/>
      <c r="Z14" s="7"/>
    </row>
    <row r="15" spans="1:29" x14ac:dyDescent="0.25">
      <c r="A15" s="42" t="s">
        <v>6</v>
      </c>
      <c r="B15" s="160">
        <f>+'[1]10.PRECIO DEL VINO DE TRASLADO'!V445</f>
        <v>60370.468705141808</v>
      </c>
      <c r="C15" s="160">
        <f>+'[1]10.PRECIO DEL VINO DE TRASLADO'!V457</f>
        <v>75431.775774240275</v>
      </c>
      <c r="D15" s="160">
        <f>+'[1]10.PRECIO DEL VINO DE TRASLADO'!V469</f>
        <v>41995.251256273215</v>
      </c>
      <c r="E15" s="160">
        <f>+'[1]10.PRECIO DEL VINO DE TRASLADO'!V481</f>
        <v>23102.226811058652</v>
      </c>
      <c r="F15" s="160">
        <f>+'[1]10.PRECIO DEL VINO DE TRASLADO'!V493</f>
        <v>26840.601134849509</v>
      </c>
      <c r="G15" s="160">
        <f>+'[1]10.PRECIO DEL VINO DE TRASLADO'!V505</f>
        <v>48905.985964851978</v>
      </c>
      <c r="H15" s="160">
        <f>+'[1]10.PRECIO DEL VINO DE TRASLADO'!V517</f>
        <v>49521.20291200783</v>
      </c>
      <c r="I15" s="160">
        <f>+'[1]10.PRECIO DEL VINO DE TRASLADO'!V529</f>
        <v>52112.497310121689</v>
      </c>
      <c r="J15" s="161">
        <f>+'[1]10.PRECIO DEL VINO DE TRASLADO'!V541</f>
        <v>34544.997228185595</v>
      </c>
      <c r="K15" s="162"/>
      <c r="L15" s="7"/>
      <c r="M15" s="2"/>
      <c r="N15" s="42" t="s">
        <v>6</v>
      </c>
      <c r="O15" s="160">
        <f>+AVERAGE('[1]10.PRECIO DEL VINO DE TRASLADO'!$V$426:$V$437)</f>
        <v>32808.964197800211</v>
      </c>
      <c r="P15" s="160">
        <f t="shared" ref="P15:W15" si="10">+(SUM(C7:C15)+SUM(B16:B18))/12</f>
        <v>75148.538507381949</v>
      </c>
      <c r="Q15" s="160">
        <f t="shared" si="10"/>
        <v>57865.450553589384</v>
      </c>
      <c r="R15" s="160">
        <f t="shared" si="10"/>
        <v>29727.517757314403</v>
      </c>
      <c r="S15" s="160">
        <f t="shared" si="10"/>
        <v>24412.153075103561</v>
      </c>
      <c r="T15" s="160">
        <f t="shared" si="10"/>
        <v>46544.267672867776</v>
      </c>
      <c r="U15" s="160">
        <f t="shared" si="10"/>
        <v>53098.291368393402</v>
      </c>
      <c r="V15" s="160">
        <f t="shared" si="10"/>
        <v>60880.782306696317</v>
      </c>
      <c r="W15" s="161">
        <f t="shared" si="10"/>
        <v>45809.689800720116</v>
      </c>
      <c r="X15" s="162"/>
      <c r="Y15" s="78"/>
      <c r="Z15" s="7"/>
    </row>
    <row r="16" spans="1:29" x14ac:dyDescent="0.25">
      <c r="A16" s="42" t="s">
        <v>7</v>
      </c>
      <c r="B16" s="160">
        <f>+'[1]10.PRECIO DEL VINO DE TRASLADO'!V446</f>
        <v>79747.254247543824</v>
      </c>
      <c r="C16" s="160">
        <f>+'[1]10.PRECIO DEL VINO DE TRASLADO'!V458</f>
        <v>63294.341806280376</v>
      </c>
      <c r="D16" s="160">
        <f>+'[1]10.PRECIO DEL VINO DE TRASLADO'!V470</f>
        <v>40221.330777221279</v>
      </c>
      <c r="E16" s="160">
        <f>+'[1]10.PRECIO DEL VINO DE TRASLADO'!V482</f>
        <v>22735.009298987523</v>
      </c>
      <c r="F16" s="160">
        <f>+'[1]10.PRECIO DEL VINO DE TRASLADO'!V494</f>
        <v>27028.91818493179</v>
      </c>
      <c r="G16" s="160">
        <f>+'[1]10.PRECIO DEL VINO DE TRASLADO'!V506</f>
        <v>52654.100679392555</v>
      </c>
      <c r="H16" s="160">
        <f>+'[1]10.PRECIO DEL VINO DE TRASLADO'!V518</f>
        <v>40272.907782802693</v>
      </c>
      <c r="I16" s="160">
        <f>+'[1]10.PRECIO DEL VINO DE TRASLADO'!V530</f>
        <v>46288.182688593151</v>
      </c>
      <c r="J16" s="161">
        <f>+'[1]10.PRECIO DEL VINO DE TRASLADO'!V542</f>
        <v>44746.938828799997</v>
      </c>
      <c r="K16" s="162"/>
      <c r="L16" s="7"/>
      <c r="M16" s="2"/>
      <c r="N16" s="42" t="s">
        <v>7</v>
      </c>
      <c r="O16" s="160">
        <f>+AVERAGE('[1]10.PRECIO DEL VINO DE TRASLADO'!$V$426:$V$437)</f>
        <v>32808.964197800211</v>
      </c>
      <c r="P16" s="160">
        <f t="shared" ref="P16:W16" si="11">+(SUM(C7:C16)+SUM(B17:B18))/12</f>
        <v>73777.46247061</v>
      </c>
      <c r="Q16" s="160">
        <f t="shared" si="11"/>
        <v>55942.699634501121</v>
      </c>
      <c r="R16" s="160">
        <f t="shared" si="11"/>
        <v>28270.32430079492</v>
      </c>
      <c r="S16" s="160">
        <f t="shared" si="11"/>
        <v>24769.978815598919</v>
      </c>
      <c r="T16" s="160">
        <f t="shared" si="11"/>
        <v>48679.69954740617</v>
      </c>
      <c r="U16" s="160">
        <f t="shared" si="11"/>
        <v>52066.52529367758</v>
      </c>
      <c r="V16" s="160">
        <f t="shared" si="11"/>
        <v>61382.055215512191</v>
      </c>
      <c r="W16" s="161">
        <f t="shared" si="11"/>
        <v>45681.252812404018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69706.373717571521</v>
      </c>
      <c r="C17" s="160">
        <f>+'[1]10.PRECIO DEL VINO DE TRASLADO'!V459</f>
        <v>63138.740359071657</v>
      </c>
      <c r="D17" s="160">
        <f>+'[1]10.PRECIO DEL VINO DE TRASLADO'!V471</f>
        <v>35824.519509169149</v>
      </c>
      <c r="E17" s="160">
        <f>+'[1]10.PRECIO DEL VINO DE TRASLADO'!V483</f>
        <v>26141.595782989727</v>
      </c>
      <c r="F17" s="160">
        <f>+'[1]10.PRECIO DEL VINO DE TRASLADO'!V495</f>
        <v>38462.545557120655</v>
      </c>
      <c r="G17" s="160">
        <f>+'[1]10.PRECIO DEL VINO DE TRASLADO'!V507</f>
        <v>46072.048972367542</v>
      </c>
      <c r="H17" s="160">
        <f>+'[1]10.PRECIO DEL VINO DE TRASLADO'!V519</f>
        <v>58302.623476824105</v>
      </c>
      <c r="I17" s="160">
        <f>+'[1]10.PRECIO DEL VINO DE TRASLADO'!V531</f>
        <v>45287.859703785267</v>
      </c>
      <c r="J17" s="161">
        <f>+'[1]10.PRECIO DEL VINO DE TRASLADO'!V543</f>
        <v>39375.375129999993</v>
      </c>
      <c r="K17" s="162"/>
      <c r="L17" s="7"/>
      <c r="M17" s="2"/>
      <c r="N17" s="42" t="s">
        <v>8</v>
      </c>
      <c r="O17" s="160">
        <f>+AVERAGE('[1]10.PRECIO DEL VINO DE TRASLADO'!$V$426:$V$437)</f>
        <v>32808.964197800211</v>
      </c>
      <c r="P17" s="160">
        <f t="shared" ref="P17:W17" si="12">+(SUM(C7:C17)+SUM(B18))/12</f>
        <v>73230.159690735003</v>
      </c>
      <c r="Q17" s="160">
        <f t="shared" si="12"/>
        <v>53666.514563675912</v>
      </c>
      <c r="R17" s="160">
        <f t="shared" si="12"/>
        <v>27463.413990279969</v>
      </c>
      <c r="S17" s="160">
        <f t="shared" si="12"/>
        <v>25796.724630109831</v>
      </c>
      <c r="T17" s="160">
        <f t="shared" si="12"/>
        <v>49313.824832010083</v>
      </c>
      <c r="U17" s="160">
        <f t="shared" si="12"/>
        <v>53085.739835715627</v>
      </c>
      <c r="V17" s="160">
        <f t="shared" si="12"/>
        <v>60297.491567758952</v>
      </c>
      <c r="W17" s="161">
        <f t="shared" si="12"/>
        <v>45188.545764588584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88169.861959215268</v>
      </c>
      <c r="C18" s="160">
        <f>+'[1]10.PRECIO DEL VINO DE TRASLADO'!V460</f>
        <v>69470.751047044279</v>
      </c>
      <c r="D18" s="160">
        <f>+'[1]10.PRECIO DEL VINO DE TRASLADO'!V472</f>
        <v>38964.724253411252</v>
      </c>
      <c r="E18" s="160">
        <f>+'[1]10.PRECIO DEL VINO DE TRASLADO'!V484</f>
        <v>20970.803530320383</v>
      </c>
      <c r="F18" s="160">
        <f>+'[1]10.PRECIO DEL VINO DE TRASLADO'!V496</f>
        <v>34168.020926095334</v>
      </c>
      <c r="G18" s="160">
        <f>+'[1]10.PRECIO DEL VINO DE TRASLADO'!V508</f>
        <v>41708.296169817673</v>
      </c>
      <c r="H18" s="160">
        <f>+'[1]10.PRECIO DEL VINO DE TRASLADO'!V520</f>
        <v>49520.440624453411</v>
      </c>
      <c r="I18" s="160">
        <f>+'[1]10.PRECIO DEL VINO DE TRASLADO'!V532</f>
        <v>42117.254386733657</v>
      </c>
      <c r="J18" s="161">
        <f>+'[2]10.PRECIO DEL VINO DE TRASLADO'!$V$544</f>
        <v>26138.989999999998</v>
      </c>
      <c r="K18" s="162"/>
      <c r="L18" s="7"/>
      <c r="M18" s="2"/>
      <c r="N18" s="42" t="s">
        <v>9</v>
      </c>
      <c r="O18" s="160">
        <f>+AVERAGE('[1]10.PRECIO DEL VINO DE TRASLADO'!$V$426:$V$437)</f>
        <v>32808.964197800211</v>
      </c>
      <c r="P18" s="160">
        <f t="shared" ref="P18:W18" si="13">+(SUM(C7:C18))/12</f>
        <v>71671.90044805409</v>
      </c>
      <c r="Q18" s="160">
        <f t="shared" si="13"/>
        <v>51124.345664206492</v>
      </c>
      <c r="R18" s="160">
        <f t="shared" si="13"/>
        <v>25963.920596689069</v>
      </c>
      <c r="S18" s="160">
        <f t="shared" si="13"/>
        <v>26896.492746424407</v>
      </c>
      <c r="T18" s="160">
        <f t="shared" si="13"/>
        <v>49942.181102320283</v>
      </c>
      <c r="U18" s="160">
        <f t="shared" si="13"/>
        <v>53736.751873601934</v>
      </c>
      <c r="V18" s="160">
        <f t="shared" si="13"/>
        <v>59680.559381282306</v>
      </c>
      <c r="W18" s="161">
        <f t="shared" si="13"/>
        <v>43857.02373236078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57624.435692090592</v>
      </c>
      <c r="C19" s="211">
        <f t="shared" ref="C19:H19" si="14">AVERAGE(C7:C18)</f>
        <v>71671.90044805409</v>
      </c>
      <c r="D19" s="211">
        <f t="shared" si="14"/>
        <v>51124.345664206492</v>
      </c>
      <c r="E19" s="211">
        <f t="shared" si="14"/>
        <v>25963.920596689069</v>
      </c>
      <c r="F19" s="211">
        <f t="shared" si="14"/>
        <v>26896.492746424407</v>
      </c>
      <c r="G19" s="211">
        <f t="shared" si="14"/>
        <v>49942.181102320283</v>
      </c>
      <c r="H19" s="211">
        <f t="shared" si="14"/>
        <v>53736.751873601934</v>
      </c>
      <c r="I19" s="211">
        <f t="shared" ref="I19:J19" si="15">AVERAGE(I7:I18)</f>
        <v>59680.559381282306</v>
      </c>
      <c r="J19" s="212">
        <f t="shared" si="15"/>
        <v>43857.02373236078</v>
      </c>
      <c r="K19" s="212"/>
      <c r="L19" s="165"/>
      <c r="M19" s="3"/>
      <c r="N19" s="43" t="s">
        <v>14</v>
      </c>
      <c r="O19" s="163">
        <f t="shared" ref="O19" si="16">+AVERAGE(O7:O18)</f>
        <v>32808.964197800211</v>
      </c>
      <c r="P19" s="163">
        <f>+AVERAGE(P7:P18)</f>
        <v>70804.341514769665</v>
      </c>
      <c r="Q19" s="163">
        <f t="shared" ref="Q19:T19" si="17">+AVERAGE(Q7:Q18)</f>
        <v>62056.652288701087</v>
      </c>
      <c r="R19" s="163">
        <f t="shared" si="17"/>
        <v>35812.521645085908</v>
      </c>
      <c r="S19" s="163">
        <f t="shared" si="17"/>
        <v>24306.737766177834</v>
      </c>
      <c r="T19" s="163">
        <f t="shared" si="17"/>
        <v>40306.505090988307</v>
      </c>
      <c r="U19" s="163">
        <f t="shared" ref="U19:V19" si="18">+AVERAGE(U7:U18)</f>
        <v>52864.884271073097</v>
      </c>
      <c r="V19" s="163">
        <f t="shared" si="18"/>
        <v>58732.875525875483</v>
      </c>
      <c r="W19" s="164">
        <f t="shared" ref="W19:X19" si="19">+AVERAGE(W7:W18)</f>
        <v>50111.580108233647</v>
      </c>
      <c r="X19" s="164">
        <f t="shared" si="19"/>
        <v>41088.353455805554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20">+C19/B19-1</f>
        <v>0.2437761791026376</v>
      </c>
      <c r="D20" s="50">
        <f t="shared" si="20"/>
        <v>-0.28668912998532703</v>
      </c>
      <c r="E20" s="50">
        <f t="shared" si="20"/>
        <v>-0.49214175243973646</v>
      </c>
      <c r="F20" s="50">
        <f t="shared" si="20"/>
        <v>3.5918001915868469E-2</v>
      </c>
      <c r="G20" s="50">
        <f t="shared" si="20"/>
        <v>0.85682875359128552</v>
      </c>
      <c r="H20" s="50">
        <f t="shared" si="20"/>
        <v>7.5979276185544009E-2</v>
      </c>
      <c r="I20" s="50">
        <f t="shared" si="20"/>
        <v>0.11060972798767654</v>
      </c>
      <c r="J20" s="70">
        <f t="shared" si="20"/>
        <v>-0.26513718726779034</v>
      </c>
      <c r="K20" s="70"/>
      <c r="L20" s="52"/>
      <c r="M20" s="2"/>
      <c r="N20" s="45" t="s">
        <v>12</v>
      </c>
      <c r="O20" s="49"/>
      <c r="P20" s="50">
        <f t="shared" ref="P20:X20" si="21">+P19/O19-1</f>
        <v>1.1580791483663169</v>
      </c>
      <c r="Q20" s="50">
        <f t="shared" si="21"/>
        <v>-0.1235473565451326</v>
      </c>
      <c r="R20" s="50">
        <f t="shared" si="21"/>
        <v>-0.42290600081876406</v>
      </c>
      <c r="S20" s="50">
        <f t="shared" si="21"/>
        <v>-0.3212782387382338</v>
      </c>
      <c r="T20" s="50">
        <f t="shared" si="21"/>
        <v>0.65824412468355642</v>
      </c>
      <c r="U20" s="50">
        <f t="shared" si="21"/>
        <v>0.3115720192493836</v>
      </c>
      <c r="V20" s="50">
        <f t="shared" si="21"/>
        <v>0.11099979382747405</v>
      </c>
      <c r="W20" s="70">
        <f t="shared" si="21"/>
        <v>-0.14678823981372435</v>
      </c>
      <c r="X20" s="70">
        <f t="shared" si="21"/>
        <v>-0.18006270472691643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25" t="s">
        <v>292</v>
      </c>
      <c r="B22" s="326"/>
      <c r="C22" s="326"/>
      <c r="D22" s="326"/>
      <c r="E22" s="326"/>
      <c r="F22" s="326"/>
      <c r="G22" s="326"/>
      <c r="H22" s="326"/>
      <c r="I22" s="326"/>
      <c r="J22" s="326"/>
      <c r="K22" s="326"/>
      <c r="L22" s="327"/>
      <c r="M22" s="2"/>
      <c r="N22" s="325" t="s">
        <v>279</v>
      </c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7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22">+C23+1</f>
        <v>2018</v>
      </c>
      <c r="E23" s="39">
        <f t="shared" si="22"/>
        <v>2019</v>
      </c>
      <c r="F23" s="39">
        <f t="shared" si="22"/>
        <v>2020</v>
      </c>
      <c r="G23" s="39">
        <f t="shared" si="22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23">+P23+1</f>
        <v>2018</v>
      </c>
      <c r="R23" s="64">
        <f t="shared" si="23"/>
        <v>2019</v>
      </c>
      <c r="S23" s="64">
        <f t="shared" si="23"/>
        <v>2020</v>
      </c>
      <c r="T23" s="64">
        <f t="shared" ref="T23" si="24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21395.900327099225</v>
      </c>
      <c r="C24" s="160">
        <f>+'[1]10.PRECIO DEL VINO DE TRASLADO'!W449</f>
        <v>41272.779814889749</v>
      </c>
      <c r="D24" s="160">
        <f>+'[1]10.PRECIO DEL VINO DE TRASLADO'!W461</f>
        <v>27231.22249349015</v>
      </c>
      <c r="E24" s="160">
        <f>+'[1]10.PRECIO DEL VINO DE TRASLADO'!W473</f>
        <v>18197.252622794455</v>
      </c>
      <c r="F24" s="160">
        <f>+'[1]10.PRECIO DEL VINO DE TRASLADO'!W485</f>
        <v>16228.205541786447</v>
      </c>
      <c r="G24" s="160">
        <f>+'[1]10.PRECIO DEL VINO DE TRASLADO'!W497</f>
        <v>42269.734063328666</v>
      </c>
      <c r="H24" s="160">
        <f>+'[1]10.PRECIO DEL VINO DE TRASLADO'!W509</f>
        <v>24803.493251895925</v>
      </c>
      <c r="I24" s="160">
        <f>+'[1]10.PRECIO DEL VINO DE TRASLADO'!W521</f>
        <v>48456.855624131174</v>
      </c>
      <c r="J24" s="161">
        <f>+'[1]10.PRECIO DEL VINO DE TRASLADO'!W533</f>
        <v>34201.483721943499</v>
      </c>
      <c r="K24" s="162">
        <f>+'[1]10.PRECIO DEL VINO DE TRASLADO'!W545</f>
        <v>30817.203140333662</v>
      </c>
      <c r="L24" s="7">
        <f>+K24/J24-1</f>
        <v>-9.8951279690784322E-2</v>
      </c>
      <c r="M24" s="2"/>
      <c r="N24" s="42" t="s">
        <v>10</v>
      </c>
      <c r="O24" s="160">
        <f>+AVERAGE('[1]10.PRECIO DEL VINO DE TRASLADO'!W426:W437)</f>
        <v>22602.847301725542</v>
      </c>
      <c r="P24" s="160">
        <f t="shared" ref="P24:X24" si="25">+(SUM(C24)+SUM(B25:B35))/12</f>
        <v>35110.283145166402</v>
      </c>
      <c r="Q24" s="160">
        <f t="shared" si="25"/>
        <v>42304.786312061864</v>
      </c>
      <c r="R24" s="160">
        <f t="shared" si="25"/>
        <v>32431.249650227008</v>
      </c>
      <c r="S24" s="160">
        <f t="shared" si="25"/>
        <v>20662.973698486945</v>
      </c>
      <c r="T24" s="160">
        <f t="shared" si="25"/>
        <v>25233.813374110614</v>
      </c>
      <c r="U24" s="160">
        <f t="shared" si="25"/>
        <v>37587.981620787497</v>
      </c>
      <c r="V24" s="160">
        <f t="shared" si="25"/>
        <v>51717.46411059075</v>
      </c>
      <c r="W24" s="161">
        <f t="shared" si="25"/>
        <v>50872.355419663822</v>
      </c>
      <c r="X24" s="162">
        <f t="shared" si="25"/>
        <v>35523.406167018096</v>
      </c>
      <c r="Y24" s="78">
        <f>+X24/W24-1</f>
        <v>-0.30171493193163323</v>
      </c>
      <c r="Z24" s="7">
        <f>+POWER(X24/S24,0.2)-1</f>
        <v>0.11445966703015831</v>
      </c>
    </row>
    <row r="25" spans="1:26" x14ac:dyDescent="0.25">
      <c r="A25" s="42" t="s">
        <v>11</v>
      </c>
      <c r="B25" s="160">
        <f>+'[1]10.PRECIO DEL VINO DE TRASLADO'!W438</f>
        <v>22679.202883017901</v>
      </c>
      <c r="C25" s="160">
        <f>+'[1]10.PRECIO DEL VINO DE TRASLADO'!W450</f>
        <v>22750.829291459366</v>
      </c>
      <c r="D25" s="160">
        <f>+'[1]10.PRECIO DEL VINO DE TRASLADO'!W462</f>
        <v>49986.517414022623</v>
      </c>
      <c r="E25" s="160">
        <f>+'[1]10.PRECIO DEL VINO DE TRASLADO'!W474</f>
        <v>21411.093345923524</v>
      </c>
      <c r="F25" s="160">
        <f>+'[1]10.PRECIO DEL VINO DE TRASLADO'!W486</f>
        <v>22659.860108938126</v>
      </c>
      <c r="G25" s="160">
        <f>+'[1]10.PRECIO DEL VINO DE TRASLADO'!W498</f>
        <v>32151.80908737173</v>
      </c>
      <c r="H25" s="160">
        <f>+'[1]10.PRECIO DEL VINO DE TRASLADO'!W510</f>
        <v>24035.153124547796</v>
      </c>
      <c r="I25" s="160">
        <f>+'[1]10.PRECIO DEL VINO DE TRASLADO'!W522</f>
        <v>31037.424696031263</v>
      </c>
      <c r="J25" s="161">
        <f>+'[1]10.PRECIO DEL VINO DE TRASLADO'!W534</f>
        <v>47430.001527696892</v>
      </c>
      <c r="K25" s="162">
        <f>+'[1]10.PRECIO DEL VINO DE TRASLADO'!W546</f>
        <v>31099.049696393526</v>
      </c>
      <c r="L25" s="7">
        <f>+K25/J25-1</f>
        <v>-0.34431691556591781</v>
      </c>
      <c r="M25" s="2"/>
      <c r="N25" s="42" t="s">
        <v>11</v>
      </c>
      <c r="O25" s="160">
        <f>+AVERAGE('[1]10.PRECIO DEL VINO DE TRASLADO'!W427:W438)</f>
        <v>22166.87323626762</v>
      </c>
      <c r="P25" s="160">
        <f t="shared" ref="P25:U25" si="26">+(SUM(C24:C25)+SUM(B26:B35))/12</f>
        <v>35116.252012536519</v>
      </c>
      <c r="Q25" s="160">
        <f t="shared" si="26"/>
        <v>44574.426988942134</v>
      </c>
      <c r="R25" s="160">
        <f t="shared" si="26"/>
        <v>30049.964311218748</v>
      </c>
      <c r="S25" s="160">
        <f t="shared" si="26"/>
        <v>20767.037595404829</v>
      </c>
      <c r="T25" s="160">
        <f t="shared" si="26"/>
        <v>26024.809122313414</v>
      </c>
      <c r="U25" s="160">
        <f t="shared" si="26"/>
        <v>36911.593623885507</v>
      </c>
      <c r="V25" s="160">
        <f t="shared" ref="V25" si="27">+(SUM(I24:I25)+SUM(H26:H35))/12</f>
        <v>52300.986741547698</v>
      </c>
      <c r="W25" s="161">
        <f t="shared" ref="W25" si="28">+(SUM(J24:J25)+SUM(I26:I35))/12</f>
        <v>52238.403488969292</v>
      </c>
      <c r="X25" s="162">
        <f t="shared" ref="X25" si="29">+(SUM(K24:K25)+SUM(J26:J35))/12</f>
        <v>34162.493514409485</v>
      </c>
      <c r="Y25" s="78">
        <f>+X25/W25-1</f>
        <v>-0.34602722838527655</v>
      </c>
      <c r="Z25" s="7">
        <f>+POWER(X25/S25,0.2)-1</f>
        <v>0.10467621346366052</v>
      </c>
    </row>
    <row r="26" spans="1:26" x14ac:dyDescent="0.25">
      <c r="A26" s="42" t="s">
        <v>0</v>
      </c>
      <c r="B26" s="160">
        <f>+'[1]10.PRECIO DEL VINO DE TRASLADO'!W439</f>
        <v>25135.702893008285</v>
      </c>
      <c r="C26" s="160">
        <f>+'[1]10.PRECIO DEL VINO DE TRASLADO'!W451</f>
        <v>39204.741456465184</v>
      </c>
      <c r="D26" s="160">
        <f>+'[1]10.PRECIO DEL VINO DE TRASLADO'!W463</f>
        <v>40086.018769971619</v>
      </c>
      <c r="E26" s="160">
        <f>+'[1]10.PRECIO DEL VINO DE TRASLADO'!W475</f>
        <v>31222.907503500875</v>
      </c>
      <c r="F26" s="160">
        <f>+'[1]10.PRECIO DEL VINO DE TRASLADO'!W487</f>
        <v>23295.367681449257</v>
      </c>
      <c r="G26" s="160">
        <f>+'[1]10.PRECIO DEL VINO DE TRASLADO'!W499</f>
        <v>40222.552389770477</v>
      </c>
      <c r="H26" s="160">
        <f>+'[1]10.PRECIO DEL VINO DE TRASLADO'!W511</f>
        <v>59884.927038079557</v>
      </c>
      <c r="I26" s="160">
        <f>+'[1]10.PRECIO DEL VINO DE TRASLADO'!W523</f>
        <v>90207.277469981491</v>
      </c>
      <c r="J26" s="161">
        <f>+'[1]10.PRECIO DEL VINO DE TRASLADO'!W535</f>
        <v>41499.218845563933</v>
      </c>
      <c r="K26" s="162">
        <f>+'[1]10.PRECIO DEL VINO DE TRASLADO'!W547</f>
        <v>24430.443233576516</v>
      </c>
      <c r="L26" s="7">
        <f>+K26/J26-1</f>
        <v>-0.4113035398451117</v>
      </c>
      <c r="M26" s="2"/>
      <c r="N26" s="42" t="s">
        <v>0</v>
      </c>
      <c r="O26" s="160">
        <f>+AVERAGE('[1]10.PRECIO DEL VINO DE TRASLADO'!W428:W439)</f>
        <v>22664.019913956628</v>
      </c>
      <c r="P26" s="160">
        <f>+(SUM(C24:C26)+SUM(B27:B35))/12</f>
        <v>36288.671892824605</v>
      </c>
      <c r="Q26" s="160">
        <f t="shared" ref="Q26" si="30">+(SUM(D24:D26)+SUM(C27:C35))/12</f>
        <v>44647.866765067658</v>
      </c>
      <c r="R26" s="160">
        <f>+(SUM(E24:E26)+SUM(D27:D35))/12</f>
        <v>29311.371705679518</v>
      </c>
      <c r="S26" s="160">
        <f>+(SUM(F24:F26)+SUM(E27:E35))/12</f>
        <v>20106.409276900526</v>
      </c>
      <c r="T26" s="160">
        <f>+(SUM(G24:G26)+SUM(F27:F35))/12</f>
        <v>27435.407848006853</v>
      </c>
      <c r="U26" s="160">
        <f>+(SUM(H24:H26)+SUM(G27:G35))/12</f>
        <v>38550.124844577927</v>
      </c>
      <c r="V26" s="160">
        <f t="shared" ref="V26" si="31">+(SUM(I24:I26)+SUM(H27:H35))/12</f>
        <v>54827.849277539528</v>
      </c>
      <c r="W26" s="161">
        <f t="shared" ref="W26" si="32">+(SUM(J24:J26)+SUM(I27:I35))/12</f>
        <v>48179.39860360117</v>
      </c>
      <c r="X26" s="162">
        <f t="shared" ref="X26" si="33">+(SUM(K24:K26)+SUM(J27:J35))/12</f>
        <v>32740.095546743873</v>
      </c>
      <c r="Y26" s="78">
        <f>+X26/W26-1</f>
        <v>-0.32045445780436299</v>
      </c>
      <c r="Z26" s="7">
        <f>+POWER(X26/S26,0.2)-1</f>
        <v>0.1024250799220765</v>
      </c>
    </row>
    <row r="27" spans="1:26" x14ac:dyDescent="0.25">
      <c r="A27" s="42" t="s">
        <v>1</v>
      </c>
      <c r="B27" s="160">
        <f>+'[1]10.PRECIO DEL VINO DE TRASLADO'!W440</f>
        <v>18445.023888680484</v>
      </c>
      <c r="C27" s="160">
        <f>+'[1]10.PRECIO DEL VINO DE TRASLADO'!W452</f>
        <v>39731.463464773122</v>
      </c>
      <c r="D27" s="160">
        <f>+'[1]10.PRECIO DEL VINO DE TRASLADO'!W464</f>
        <v>40176.101268616796</v>
      </c>
      <c r="E27" s="160">
        <f>+'[1]10.PRECIO DEL VINO DE TRASLADO'!W476</f>
        <v>22538.542360988355</v>
      </c>
      <c r="F27" s="160">
        <f>+'[1]10.PRECIO DEL VINO DE TRASLADO'!W488</f>
        <v>19477.344319740001</v>
      </c>
      <c r="G27" s="160">
        <f>+'[1]10.PRECIO DEL VINO DE TRASLADO'!W500</f>
        <v>47780.83630082223</v>
      </c>
      <c r="H27" s="160">
        <f>+'[1]10.PRECIO DEL VINO DE TRASLADO'!W512</f>
        <v>79901.282941730067</v>
      </c>
      <c r="I27" s="160">
        <f>+'[1]10.PRECIO DEL VINO DE TRASLADO'!W524</f>
        <v>79382.469338228228</v>
      </c>
      <c r="J27" s="161">
        <f>+'[1]10.PRECIO DEL VINO DE TRASLADO'!W536</f>
        <v>42369.493958249848</v>
      </c>
      <c r="K27" s="162">
        <f>+'[2]10.PRECIO DEL VINO DE TRASLADO'!$W$548</f>
        <v>24789.122981537974</v>
      </c>
      <c r="L27" s="7">
        <f>+K27/J27-1</f>
        <v>-0.41492992562137421</v>
      </c>
      <c r="M27" s="2"/>
      <c r="N27" s="42" t="s">
        <v>1</v>
      </c>
      <c r="O27" s="160">
        <f>+AVERAGE('[1]10.PRECIO DEL VINO DE TRASLADO'!W429:W440)</f>
        <v>22164.287973526818</v>
      </c>
      <c r="P27" s="160">
        <f>+(SUM(C24:C27)+SUM(B28:B35))/12</f>
        <v>38062.541857498982</v>
      </c>
      <c r="Q27" s="160">
        <f t="shared" ref="Q27" si="34">+(SUM(D24:D27)+SUM(C28:C35))/12</f>
        <v>44684.919915387967</v>
      </c>
      <c r="R27" s="160">
        <f>+(SUM(E24:E27)+SUM(D28:D35))/12</f>
        <v>27841.575130043813</v>
      </c>
      <c r="S27" s="160">
        <f>+(SUM(F24:F27)+SUM(E28:E35))/12</f>
        <v>19851.309440129829</v>
      </c>
      <c r="T27" s="160">
        <f>+(SUM(G24:G27)+SUM(F28:F35))/12</f>
        <v>29794.032179763704</v>
      </c>
      <c r="U27" s="160">
        <f>+(SUM(H24:H27)+SUM(G28:G35))/12</f>
        <v>41226.828731320245</v>
      </c>
      <c r="V27" s="160">
        <f t="shared" ref="V27" si="35">+(SUM(I24:I27)+SUM(H28:H35))/12</f>
        <v>54784.61481058105</v>
      </c>
      <c r="W27" s="161">
        <f t="shared" ref="W27:X27" si="36">+(SUM(J24:J27)+SUM(I28:I35))/12</f>
        <v>45094.983988602966</v>
      </c>
      <c r="X27" s="162">
        <f t="shared" si="36"/>
        <v>31275.064632017878</v>
      </c>
      <c r="Y27" s="78">
        <f>+X27/W27-1</f>
        <v>-0.30646245179015585</v>
      </c>
      <c r="Z27" s="7">
        <f>+POWER(X27/S27,0.2)-1</f>
        <v>9.5170687637410545E-2</v>
      </c>
    </row>
    <row r="28" spans="1:26" x14ac:dyDescent="0.25">
      <c r="A28" s="42" t="s">
        <v>2</v>
      </c>
      <c r="B28" s="160">
        <f>+'[1]10.PRECIO DEL VINO DE TRASLADO'!W441</f>
        <v>38520.591430771769</v>
      </c>
      <c r="C28" s="160">
        <f>+'[1]10.PRECIO DEL VINO DE TRASLADO'!W453</f>
        <v>57687.697579986198</v>
      </c>
      <c r="D28" s="160">
        <f>+'[1]10.PRECIO DEL VINO DE TRASLADO'!W465</f>
        <v>28158.640387812757</v>
      </c>
      <c r="E28" s="160">
        <f>+'[1]10.PRECIO DEL VINO DE TRASLADO'!W477</f>
        <v>24944.961997710085</v>
      </c>
      <c r="F28" s="160">
        <f>+'[1]10.PRECIO DEL VINO DE TRASLADO'!W489</f>
        <v>21219.606107017898</v>
      </c>
      <c r="G28" s="160">
        <f>+'[1]10.PRECIO DEL VINO DE TRASLADO'!W501</f>
        <v>50376.705874238411</v>
      </c>
      <c r="H28" s="160">
        <f>+'[1]10.PRECIO DEL VINO DE TRASLADO'!W513</f>
        <v>71215.382486298549</v>
      </c>
      <c r="I28" s="160">
        <f>+'[1]10.PRECIO DEL VINO DE TRASLADO'!W525</f>
        <v>68680.687401543124</v>
      </c>
      <c r="J28" s="161">
        <f>+'[1]10.PRECIO DEL VINO DE TRASLADO'!W537</f>
        <v>44046.413498368849</v>
      </c>
      <c r="K28" s="162"/>
      <c r="L28" s="7"/>
      <c r="M28" s="2"/>
      <c r="N28" s="42" t="s">
        <v>2</v>
      </c>
      <c r="O28" s="160">
        <f>+AVERAGE('[1]10.PRECIO DEL VINO DE TRASLADO'!W430:W441)</f>
        <v>23254.592929541774</v>
      </c>
      <c r="P28" s="160">
        <f>+(SUM(C24:C28)+SUM(B29:B35))/12</f>
        <v>39659.800703266854</v>
      </c>
      <c r="Q28" s="160">
        <f t="shared" ref="Q28" si="37">+(SUM(D24:D28)+SUM(C29:C35))/12</f>
        <v>42224.165149373519</v>
      </c>
      <c r="R28" s="160">
        <f>+(SUM(E24:E28)+SUM(D29:D35))/12</f>
        <v>27573.768597535262</v>
      </c>
      <c r="S28" s="160">
        <f>+(SUM(F24:F28)+SUM(E29:E35))/12</f>
        <v>19540.863115905482</v>
      </c>
      <c r="T28" s="160">
        <f>+(SUM(G24:G28)+SUM(F29:F35))/12</f>
        <v>32223.790493698747</v>
      </c>
      <c r="U28" s="160">
        <f>+(SUM(H24:H28)+SUM(G29:G35))/12</f>
        <v>42963.385115658595</v>
      </c>
      <c r="V28" s="160">
        <f t="shared" ref="V28" si="38">+(SUM(I24:I28)+SUM(H29:H35))/12</f>
        <v>54573.390220184752</v>
      </c>
      <c r="W28" s="161">
        <f t="shared" ref="W28" si="39">+(SUM(J24:J28)+SUM(I29:I35))/12</f>
        <v>43042.127830005113</v>
      </c>
      <c r="X28" s="162"/>
      <c r="Y28" s="78"/>
      <c r="Z28" s="7"/>
    </row>
    <row r="29" spans="1:26" x14ac:dyDescent="0.25">
      <c r="A29" s="42" t="s">
        <v>3</v>
      </c>
      <c r="B29" s="160">
        <f>+'[1]10.PRECIO DEL VINO DE TRASLADO'!W442</f>
        <v>41045.505787942726</v>
      </c>
      <c r="C29" s="160">
        <f>+'[1]10.PRECIO DEL VINO DE TRASLADO'!W454</f>
        <v>62730.543121480812</v>
      </c>
      <c r="D29" s="160">
        <f>+'[1]10.PRECIO DEL VINO DE TRASLADO'!W466</f>
        <v>32571.469710082391</v>
      </c>
      <c r="E29" s="160">
        <f>+'[1]10.PRECIO DEL VINO DE TRASLADO'!W478</f>
        <v>23044.568963285441</v>
      </c>
      <c r="F29" s="160">
        <f>+'[1]10.PRECIO DEL VINO DE TRASLADO'!W490</f>
        <v>20014.109793492917</v>
      </c>
      <c r="G29" s="160">
        <f>+'[1]10.PRECIO DEL VINO DE TRASLADO'!W502</f>
        <v>53801.91587348553</v>
      </c>
      <c r="H29" s="160">
        <f>+'[1]10.PRECIO DEL VINO DE TRASLADO'!W514</f>
        <v>53507.554862501143</v>
      </c>
      <c r="I29" s="160">
        <f>+'[1]10.PRECIO DEL VINO DE TRASLADO'!W526</f>
        <v>48882.642293106488</v>
      </c>
      <c r="J29" s="161">
        <f>+'[1]10.PRECIO DEL VINO DE TRASLADO'!W538</f>
        <v>39169.618508022206</v>
      </c>
      <c r="K29" s="162"/>
      <c r="L29" s="7"/>
      <c r="M29" s="2"/>
      <c r="N29" s="42" t="s">
        <v>3</v>
      </c>
      <c r="O29" s="160">
        <f>+AVERAGE('[1]10.PRECIO DEL VINO DE TRASLADO'!W431:W442)</f>
        <v>25120.228711484993</v>
      </c>
      <c r="P29" s="160">
        <f>+(SUM(C24:C29)+SUM(B30:B35))/12</f>
        <v>41466.887147728361</v>
      </c>
      <c r="Q29" s="160">
        <f t="shared" ref="Q29" si="40">+(SUM(D24:D29)+SUM(C30:C35))/12</f>
        <v>39710.909031756986</v>
      </c>
      <c r="R29" s="160">
        <f>+(SUM(E24:E29)+SUM(D30:D35))/12</f>
        <v>26779.860201968844</v>
      </c>
      <c r="S29" s="160">
        <f>+(SUM(F24:F29)+SUM(E30:E35))/12</f>
        <v>19288.324851756104</v>
      </c>
      <c r="T29" s="160">
        <f>+(SUM(G24:G29)+SUM(F30:F35))/12</f>
        <v>35039.441000364801</v>
      </c>
      <c r="U29" s="160">
        <f>+(SUM(H24:H29)+SUM(G30:G35))/12</f>
        <v>42938.85503140989</v>
      </c>
      <c r="V29" s="160">
        <f t="shared" ref="V29" si="41">+(SUM(I24:I29)+SUM(H30:H35))/12</f>
        <v>54187.980839401869</v>
      </c>
      <c r="W29" s="161">
        <f t="shared" ref="W29" si="42">+(SUM(J24:J29)+SUM(I30:I35))/12</f>
        <v>42232.709181248087</v>
      </c>
      <c r="X29" s="162"/>
      <c r="Y29" s="78"/>
      <c r="Z29" s="7"/>
    </row>
    <row r="30" spans="1:26" x14ac:dyDescent="0.25">
      <c r="A30" s="42" t="s">
        <v>4</v>
      </c>
      <c r="B30" s="160">
        <f>+'[1]10.PRECIO DEL VINO DE TRASLADO'!W443</f>
        <v>51138.474704474713</v>
      </c>
      <c r="C30" s="160">
        <f>+'[1]10.PRECIO DEL VINO DE TRASLADO'!W455</f>
        <v>42620.486046137041</v>
      </c>
      <c r="D30" s="160">
        <f>+'[1]10.PRECIO DEL VINO DE TRASLADO'!W467</f>
        <v>23168.535437666054</v>
      </c>
      <c r="E30" s="160">
        <f>+'[1]10.PRECIO DEL VINO DE TRASLADO'!W479</f>
        <v>21801.524694182037</v>
      </c>
      <c r="F30" s="160">
        <f>+'[1]10.PRECIO DEL VINO DE TRASLADO'!W491</f>
        <v>23672.258479068576</v>
      </c>
      <c r="G30" s="160">
        <f>+'[1]10.PRECIO DEL VINO DE TRASLADO'!W503</f>
        <v>45336.973487896081</v>
      </c>
      <c r="H30" s="160">
        <f>+'[1]10.PRECIO DEL VINO DE TRASLADO'!W515</f>
        <v>40336.810472960089</v>
      </c>
      <c r="I30" s="160">
        <f>+'[1]10.PRECIO DEL VINO DE TRASLADO'!W527</f>
        <v>70060.812144672629</v>
      </c>
      <c r="J30" s="161">
        <f>+'[1]10.PRECIO DEL VINO DE TRASLADO'!W539</f>
        <v>19217.216288485113</v>
      </c>
      <c r="K30" s="162"/>
      <c r="L30" s="7"/>
      <c r="M30" s="2"/>
      <c r="N30" s="42" t="s">
        <v>4</v>
      </c>
      <c r="O30" s="160">
        <f>+AVERAGE('[1]10.PRECIO DEL VINO DE TRASLADO'!W432:W443)</f>
        <v>27284.244133243057</v>
      </c>
      <c r="P30" s="160">
        <f>+(SUM(C24:C30)+SUM(B31:B35))/12</f>
        <v>40757.054759533559</v>
      </c>
      <c r="Q30" s="160">
        <f t="shared" ref="Q30" si="43">+(SUM(D24:D30)+SUM(C31:C35))/12</f>
        <v>38089.913147717743</v>
      </c>
      <c r="R30" s="160">
        <f>+(SUM(E24:E30)+SUM(D31:D35))/12</f>
        <v>26665.942640011843</v>
      </c>
      <c r="S30" s="160">
        <f>+(SUM(F24:F30)+SUM(E31:E35))/12</f>
        <v>19444.219333829984</v>
      </c>
      <c r="T30" s="160">
        <f>+(SUM(G24:G30)+SUM(F31:F35))/12</f>
        <v>36844.833917767093</v>
      </c>
      <c r="U30" s="160">
        <f>+(SUM(H24:H30)+SUM(G31:G35))/12</f>
        <v>42522.174780165231</v>
      </c>
      <c r="V30" s="160">
        <f t="shared" ref="V30" si="44">+(SUM(I24:I30)+SUM(H31:H35))/12</f>
        <v>56664.980978711246</v>
      </c>
      <c r="W30" s="161">
        <f t="shared" ref="W30" si="45">+(SUM(J24:J30)+SUM(I31:I35))/12</f>
        <v>37995.742859899132</v>
      </c>
      <c r="X30" s="162"/>
      <c r="Y30" s="78"/>
      <c r="Z30" s="7"/>
    </row>
    <row r="31" spans="1:26" x14ac:dyDescent="0.25">
      <c r="A31" s="42" t="s">
        <v>5</v>
      </c>
      <c r="B31" s="160">
        <f>+'[1]10.PRECIO DEL VINO DE TRASLADO'!W444</f>
        <v>31885.599325272786</v>
      </c>
      <c r="C31" s="160">
        <f>+'[1]10.PRECIO DEL VINO DE TRASLADO'!W456</f>
        <v>45404.20688930335</v>
      </c>
      <c r="D31" s="160">
        <f>+'[1]10.PRECIO DEL VINO DE TRASLADO'!W468</f>
        <v>29591.580241696236</v>
      </c>
      <c r="E31" s="160">
        <f>+'[1]10.PRECIO DEL VINO DE TRASLADO'!W480</f>
        <v>16309.752865532793</v>
      </c>
      <c r="F31" s="160">
        <f>+'[1]10.PRECIO DEL VINO DE TRASLADO'!W492</f>
        <v>23263.718882950536</v>
      </c>
      <c r="G31" s="160">
        <f>+'[1]10.PRECIO DEL VINO DE TRASLADO'!W504</f>
        <v>36932.953325108021</v>
      </c>
      <c r="H31" s="160">
        <f>+'[1]10.PRECIO DEL VINO DE TRASLADO'!W516</f>
        <v>43604.685579264915</v>
      </c>
      <c r="I31" s="160">
        <f>+'[1]10.PRECIO DEL VINO DE TRASLADO'!W528</f>
        <v>48760.725357098891</v>
      </c>
      <c r="J31" s="161">
        <f>+'[1]10.PRECIO DEL VINO DE TRASLADO'!W540</f>
        <v>28504.350869289981</v>
      </c>
      <c r="K31" s="162"/>
      <c r="L31" s="7"/>
      <c r="M31" s="2"/>
      <c r="N31" s="42" t="s">
        <v>5</v>
      </c>
      <c r="O31" s="160">
        <f>+AVERAGE('[1]10.PRECIO DEL VINO DE TRASLADO'!W433:W444)</f>
        <v>27823.03931539135</v>
      </c>
      <c r="P31" s="160">
        <f>+(SUM(C24:C31)+SUM(B32:B35))/12</f>
        <v>41883.60538986943</v>
      </c>
      <c r="Q31" s="160">
        <f t="shared" ref="Q31" si="46">+(SUM(D24:D31)+SUM(C32:C35))/12</f>
        <v>36772.194260417142</v>
      </c>
      <c r="R31" s="160">
        <f>+(SUM(E24:E31)+SUM(D32:D35))/12</f>
        <v>25559.123691998229</v>
      </c>
      <c r="S31" s="160">
        <f>+(SUM(F24:F31)+SUM(E32:E35))/12</f>
        <v>20023.716501948129</v>
      </c>
      <c r="T31" s="160">
        <f>+(SUM(G24:G31)+SUM(F32:F35))/12</f>
        <v>37983.936787946885</v>
      </c>
      <c r="U31" s="160">
        <f>+(SUM(H24:H31)+SUM(G32:G35))/12</f>
        <v>43078.152468011634</v>
      </c>
      <c r="V31" s="160">
        <f t="shared" ref="V31" si="47">+(SUM(I24:I31)+SUM(H32:H35))/12</f>
        <v>57094.65096019741</v>
      </c>
      <c r="W31" s="161">
        <f t="shared" ref="W31" si="48">+(SUM(J24:J31)+SUM(I32:I35))/12</f>
        <v>36307.711652581718</v>
      </c>
      <c r="X31" s="162"/>
      <c r="Y31" s="78"/>
      <c r="Z31" s="7"/>
    </row>
    <row r="32" spans="1:26" x14ac:dyDescent="0.25">
      <c r="A32" s="42" t="s">
        <v>6</v>
      </c>
      <c r="B32" s="160">
        <f>+'[1]10.PRECIO DEL VINO DE TRASLADO'!W445</f>
        <v>28076.498130743163</v>
      </c>
      <c r="C32" s="160">
        <f>+'[1]10.PRECIO DEL VINO DE TRASLADO'!W457</f>
        <v>44343.779234073736</v>
      </c>
      <c r="D32" s="160">
        <f>+'[1]10.PRECIO DEL VINO DE TRASLADO'!W469</f>
        <v>33826.836474077521</v>
      </c>
      <c r="E32" s="160">
        <f>+'[1]10.PRECIO DEL VINO DE TRASLADO'!W481</f>
        <v>17698.127690688652</v>
      </c>
      <c r="F32" s="160">
        <f>+'[1]10.PRECIO DEL VINO DE TRASLADO'!W493</f>
        <v>22317.989571476806</v>
      </c>
      <c r="G32" s="160">
        <f>+'[1]10.PRECIO DEL VINO DE TRASLADO'!W505</f>
        <v>44480.667220082862</v>
      </c>
      <c r="H32" s="160">
        <f>+'[1]10.PRECIO DEL VINO DE TRASLADO'!W517</f>
        <v>37007.785802653147</v>
      </c>
      <c r="I32" s="160">
        <f>+'[1]10.PRECIO DEL VINO DE TRASLADO'!W529</f>
        <v>34252.614251417508</v>
      </c>
      <c r="J32" s="161">
        <f>+'[1]10.PRECIO DEL VINO DE TRASLADO'!W541</f>
        <v>25697.796720926715</v>
      </c>
      <c r="K32" s="162"/>
      <c r="L32" s="7"/>
      <c r="M32" s="2"/>
      <c r="N32" s="42" t="s">
        <v>6</v>
      </c>
      <c r="O32" s="160">
        <f>+AVERAGE('[1]10.PRECIO DEL VINO DE TRASLADO'!W434:W445)</f>
        <v>28238.03880939828</v>
      </c>
      <c r="P32" s="160">
        <f>+(SUM(C24:C32)+SUM(B33:B35))/12</f>
        <v>43239.212148480314</v>
      </c>
      <c r="Q32" s="160">
        <f t="shared" ref="Q32" si="49">+(SUM(D24:D32)+SUM(C33:C35))/12</f>
        <v>35895.782363750797</v>
      </c>
      <c r="R32" s="160">
        <f>+(SUM(E24:E32)+SUM(D33:D35))/12</f>
        <v>24215.064626715815</v>
      </c>
      <c r="S32" s="160">
        <f>+(SUM(F24:F32)+SUM(E33:E35))/12</f>
        <v>20408.704992013805</v>
      </c>
      <c r="T32" s="160">
        <f>+(SUM(G24:G32)+SUM(F33:F35))/12</f>
        <v>39830.826591997386</v>
      </c>
      <c r="U32" s="160">
        <f>+(SUM(H24:H32)+SUM(G33:G35))/12</f>
        <v>42455.412349892496</v>
      </c>
      <c r="V32" s="160">
        <f t="shared" ref="V32" si="50">+(SUM(I24:I32)+SUM(H33:H35))/12</f>
        <v>56865.053330927774</v>
      </c>
      <c r="W32" s="161">
        <f t="shared" ref="W32" si="51">+(SUM(J24:J32)+SUM(I33:I35))/12</f>
        <v>35594.810191707489</v>
      </c>
      <c r="X32" s="162"/>
      <c r="Y32" s="78"/>
      <c r="Z32" s="7"/>
    </row>
    <row r="33" spans="1:26" x14ac:dyDescent="0.25">
      <c r="A33" s="42" t="s">
        <v>7</v>
      </c>
      <c r="B33" s="160">
        <f>+'[1]10.PRECIO DEL VINO DE TRASLADO'!W446</f>
        <v>38852.255777090453</v>
      </c>
      <c r="C33" s="160">
        <f>+'[1]10.PRECIO DEL VINO DE TRASLADO'!W458</f>
        <v>43771.216897856932</v>
      </c>
      <c r="D33" s="160">
        <f>+'[1]10.PRECIO DEL VINO DE TRASLADO'!W470</f>
        <v>34278.183397387227</v>
      </c>
      <c r="E33" s="160">
        <f>+'[1]10.PRECIO DEL VINO DE TRASLADO'!W482</f>
        <v>15018.891899159205</v>
      </c>
      <c r="F33" s="160">
        <f>+'[1]10.PRECIO DEL VINO DE TRASLADO'!W494</f>
        <v>25136.578770506498</v>
      </c>
      <c r="G33" s="160">
        <f>+'[1]10.PRECIO DEL VINO DE TRASLADO'!W506</f>
        <v>25253.91413689957</v>
      </c>
      <c r="H33" s="160">
        <f>+'[1]10.PRECIO DEL VINO DE TRASLADO'!W518</f>
        <v>31853.996626221142</v>
      </c>
      <c r="I33" s="160">
        <f>+'[1]10.PRECIO DEL VINO DE TRASLADO'!W530</f>
        <v>35683.263858167971</v>
      </c>
      <c r="J33" s="161">
        <f>+'[1]10.PRECIO DEL VINO DE TRASLADO'!W542</f>
        <v>30630.152417280002</v>
      </c>
      <c r="K33" s="162"/>
      <c r="L33" s="7"/>
      <c r="M33" s="2"/>
      <c r="N33" s="42" t="s">
        <v>7</v>
      </c>
      <c r="O33" s="160">
        <f>+AVERAGE('[1]10.PRECIO DEL VINO DE TRASLADO'!W435:W446)</f>
        <v>29530.515026713267</v>
      </c>
      <c r="P33" s="160">
        <f>+(SUM(C24:C33)+SUM(B34:B35))/12</f>
        <v>43649.125575210848</v>
      </c>
      <c r="Q33" s="160">
        <f t="shared" ref="Q33" si="52">+(SUM(D24:D33)+SUM(C34:C35))/12</f>
        <v>35104.696238711651</v>
      </c>
      <c r="R33" s="160">
        <f>+(SUM(E24:E33)+SUM(D34:D35))/12</f>
        <v>22610.123668530152</v>
      </c>
      <c r="S33" s="160">
        <f>+(SUM(F24:F33)+SUM(E34:E35))/12</f>
        <v>21251.845564626081</v>
      </c>
      <c r="T33" s="160">
        <f>+(SUM(G24:G33)+SUM(F34:F35))/12</f>
        <v>39840.604539196815</v>
      </c>
      <c r="U33" s="160">
        <f>+(SUM(H24:H33)+SUM(G34:G35))/12</f>
        <v>43005.419224002624</v>
      </c>
      <c r="V33" s="160">
        <f t="shared" ref="V33" si="53">+(SUM(I24:I33)+SUM(H34:H35))/12</f>
        <v>57184.158933590013</v>
      </c>
      <c r="W33" s="161">
        <f t="shared" ref="W33" si="54">+(SUM(J24:J33)+SUM(I34:I35))/12</f>
        <v>35173.71757163349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37052.329079132694</v>
      </c>
      <c r="C34" s="160">
        <f>+'[1]10.PRECIO DEL VINO DE TRASLADO'!W459</f>
        <v>42693.884899729594</v>
      </c>
      <c r="D34" s="160">
        <f>+'[1]10.PRECIO DEL VINO DE TRASLADO'!W471</f>
        <v>30274.377011539931</v>
      </c>
      <c r="E34" s="160">
        <f>+'[1]10.PRECIO DEL VINO DE TRASLADO'!W483</f>
        <v>20113.011320721653</v>
      </c>
      <c r="F34" s="160">
        <f>+'[1]10.PRECIO DEL VINO DE TRASLADO'!W495</f>
        <v>25020.503639458184</v>
      </c>
      <c r="G34" s="160">
        <f>+'[1]10.PRECIO DEL VINO DE TRASLADO'!W507</f>
        <v>26320.179438003226</v>
      </c>
      <c r="H34" s="160">
        <f>+'[1]10.PRECIO DEL VINO DE TRASLADO'!W519</f>
        <v>88783.45970431024</v>
      </c>
      <c r="I34" s="160">
        <f>+'[1]10.PRECIO DEL VINO DE TRASLADO'!W531</f>
        <v>38113.510335466024</v>
      </c>
      <c r="J34" s="161">
        <f>+'[1]10.PRECIO DEL VINO DE TRASLADO'!W543</f>
        <v>37953.288229999991</v>
      </c>
      <c r="K34" s="162"/>
      <c r="L34" s="7"/>
      <c r="M34" s="2"/>
      <c r="N34" s="42" t="s">
        <v>8</v>
      </c>
      <c r="O34" s="160">
        <f>+AVERAGE('[1]10.PRECIO DEL VINO DE TRASLADO'!W436:W447)</f>
        <v>31006.283402226865</v>
      </c>
      <c r="P34" s="160">
        <f>+(SUM(C24:C34)+SUM(B35))/12</f>
        <v>44119.255226927256</v>
      </c>
      <c r="Q34" s="160">
        <f t="shared" ref="Q34" si="55">+(SUM(D24:D34)+SUM(C35))/12</f>
        <v>34069.737248029182</v>
      </c>
      <c r="R34" s="160">
        <f>+(SUM(E24:E34)+SUM(D35))/12</f>
        <v>21763.343194295292</v>
      </c>
      <c r="S34" s="160">
        <f>+(SUM(F24:F34)+SUM(E35))/12</f>
        <v>21660.803257854124</v>
      </c>
      <c r="T34" s="160">
        <f>+(SUM(G24:G34)+SUM(F35))/12</f>
        <v>39948.91085574223</v>
      </c>
      <c r="U34" s="160">
        <f>+(SUM(H24:H34)+SUM(G35))/12</f>
        <v>48210.692579528208</v>
      </c>
      <c r="V34" s="160">
        <f t="shared" ref="V34" si="56">+(SUM(I24:I34)+SUM(H35))/12</f>
        <v>52961.663152852991</v>
      </c>
      <c r="W34" s="161">
        <f t="shared" ref="W34" si="57">+(SUM(J24:J34)+SUM(I35))/12</f>
        <v>35160.365729511323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47219.434026972114</v>
      </c>
      <c r="C35" s="160">
        <f>+'[1]10.PRECIO DEL VINO DE TRASLADO'!W460</f>
        <v>39487.36436998687</v>
      </c>
      <c r="D35" s="160">
        <f>+'[1]10.PRECIO DEL VINO DE TRASLADO'!W472</f>
        <v>28859.483067056452</v>
      </c>
      <c r="E35" s="160">
        <f>+'[1]10.PRECIO DEL VINO DE TRASLADO'!W484</f>
        <v>17624.096198364274</v>
      </c>
      <c r="F35" s="160">
        <f>+'[1]10.PRECIO DEL VINO DE TRASLADO'!W496</f>
        <v>34458.689071899935</v>
      </c>
      <c r="G35" s="160">
        <f>+'[1]10.PRECIO DEL VINO DE TRASLADO'!W508</f>
        <v>23593.779063875892</v>
      </c>
      <c r="H35" s="160">
        <f>+'[1]10.PRECIO DEL VINO DE TRASLADO'!W520</f>
        <v>42021.675064391122</v>
      </c>
      <c r="I35" s="160">
        <f>+'[1]10.PRECIO DEL VINO DE TRASLADO'!W532</f>
        <v>31205.35416830883</v>
      </c>
      <c r="J35" s="161">
        <f>+'[2]10.PRECIO DEL VINO DE TRASLADO'!$W$544</f>
        <v>38946.120000000003</v>
      </c>
      <c r="K35" s="162"/>
      <c r="L35" s="7"/>
      <c r="M35" s="2"/>
      <c r="N35" s="42" t="s">
        <v>9</v>
      </c>
      <c r="O35" s="160">
        <f>+AVERAGE('[1]10.PRECIO DEL VINO DE TRASLADO'!W437:W448)</f>
        <v>33453.876521183854</v>
      </c>
      <c r="P35" s="160">
        <f>+(SUM(C24:C35))/12</f>
        <v>43474.916088845152</v>
      </c>
      <c r="Q35" s="160">
        <f t="shared" ref="Q35" si="58">+(SUM(D24:D35))/12</f>
        <v>33184.080472784983</v>
      </c>
      <c r="R35" s="160">
        <f>+(SUM(E24:E35))/12</f>
        <v>20827.060955237612</v>
      </c>
      <c r="S35" s="160">
        <f>+(SUM(F24:F35))/12</f>
        <v>23063.685997315431</v>
      </c>
      <c r="T35" s="160">
        <f>+(SUM(G24:G35))/12</f>
        <v>39043.501688406897</v>
      </c>
      <c r="U35" s="160">
        <f>+(SUM(H24:H35))/12</f>
        <v>49746.350579571146</v>
      </c>
      <c r="V35" s="160">
        <f t="shared" ref="V35" si="59">+(SUM(I24:I35))/12</f>
        <v>52060.303078179459</v>
      </c>
      <c r="W35" s="161">
        <f t="shared" ref="W35" si="60">+(SUM(J24:J35))/12</f>
        <v>35805.429548818916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33453.876521183854</v>
      </c>
      <c r="C36" s="211">
        <f t="shared" ref="C36" si="61">AVERAGE(C24:C35)</f>
        <v>43474.916088845152</v>
      </c>
      <c r="D36" s="211">
        <f t="shared" ref="D36" si="62">AVERAGE(D24:D35)</f>
        <v>33184.080472784983</v>
      </c>
      <c r="E36" s="211">
        <f t="shared" ref="E36" si="63">AVERAGE(E24:E35)</f>
        <v>20827.060955237612</v>
      </c>
      <c r="F36" s="211">
        <f t="shared" ref="F36" si="64">AVERAGE(F24:F35)</f>
        <v>23063.685997315431</v>
      </c>
      <c r="G36" s="211">
        <f t="shared" ref="G36:I36" si="65">AVERAGE(G24:G35)</f>
        <v>39043.501688406897</v>
      </c>
      <c r="H36" s="211">
        <f t="shared" si="65"/>
        <v>49746.350579571146</v>
      </c>
      <c r="I36" s="211">
        <f t="shared" si="65"/>
        <v>52060.303078179459</v>
      </c>
      <c r="J36" s="212">
        <f t="shared" ref="J36" si="66">AVERAGE(J24:J35)</f>
        <v>35805.429548818916</v>
      </c>
      <c r="K36" s="212"/>
      <c r="L36" s="165"/>
      <c r="M36" s="3"/>
      <c r="N36" s="43" t="s">
        <v>14</v>
      </c>
      <c r="O36" s="163">
        <f t="shared" ref="O36" si="67">+AVERAGE(O24:O35)</f>
        <v>26275.737272888338</v>
      </c>
      <c r="P36" s="163">
        <f>+AVERAGE(P24:P35)</f>
        <v>40235.633828990693</v>
      </c>
      <c r="Q36" s="163">
        <f t="shared" ref="Q36" si="68">+AVERAGE(Q24:Q35)</f>
        <v>39271.956491166799</v>
      </c>
      <c r="R36" s="163">
        <f t="shared" ref="R36" si="69">+AVERAGE(R24:R35)</f>
        <v>26302.370697788512</v>
      </c>
      <c r="S36" s="163">
        <f t="shared" ref="S36:X36" si="70">+AVERAGE(S24:S35)</f>
        <v>20505.824468847604</v>
      </c>
      <c r="T36" s="163">
        <f t="shared" si="70"/>
        <v>34103.659033276293</v>
      </c>
      <c r="U36" s="163">
        <f t="shared" si="70"/>
        <v>42433.080912400917</v>
      </c>
      <c r="V36" s="163">
        <f t="shared" si="70"/>
        <v>54601.92470285872</v>
      </c>
      <c r="W36" s="164">
        <f t="shared" si="70"/>
        <v>41474.813005520205</v>
      </c>
      <c r="X36" s="164">
        <f t="shared" si="70"/>
        <v>33425.264965047332</v>
      </c>
      <c r="Y36" s="79">
        <f>+W36/V36-1</f>
        <v>-0.2404148163050237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71">+C36/B36-1</f>
        <v>0.29954793314657313</v>
      </c>
      <c r="D37" s="50">
        <f t="shared" si="71"/>
        <v>-0.23670742906161935</v>
      </c>
      <c r="E37" s="50">
        <f t="shared" si="71"/>
        <v>-0.37237793970761501</v>
      </c>
      <c r="F37" s="50">
        <f t="shared" si="71"/>
        <v>0.10739033447325408</v>
      </c>
      <c r="G37" s="50">
        <f t="shared" si="71"/>
        <v>0.69285610690986199</v>
      </c>
      <c r="H37" s="50">
        <f t="shared" si="71"/>
        <v>0.274126254775509</v>
      </c>
      <c r="I37" s="50">
        <f t="shared" ref="I37:J37" si="72">+I36/H36-1</f>
        <v>4.6515020130110996E-2</v>
      </c>
      <c r="J37" s="70">
        <f t="shared" si="72"/>
        <v>-0.31223163462860448</v>
      </c>
      <c r="K37" s="70"/>
      <c r="L37" s="52"/>
      <c r="M37" s="2"/>
      <c r="N37" s="45" t="s">
        <v>12</v>
      </c>
      <c r="O37" s="49"/>
      <c r="P37" s="50">
        <f t="shared" ref="P37:S37" si="73">+P36/O36-1</f>
        <v>0.53128467571132121</v>
      </c>
      <c r="Q37" s="50">
        <f t="shared" si="73"/>
        <v>-2.3950842726119581E-2</v>
      </c>
      <c r="R37" s="50">
        <f t="shared" si="73"/>
        <v>-0.33025056432560107</v>
      </c>
      <c r="S37" s="50">
        <f t="shared" si="73"/>
        <v>-0.22038113201059395</v>
      </c>
      <c r="T37" s="50">
        <f t="shared" ref="T37" si="74">+T36/S36-1</f>
        <v>0.66312059703263748</v>
      </c>
      <c r="U37" s="50">
        <f t="shared" ref="U37" si="75">+U36/T36-1</f>
        <v>0.24423836371919139</v>
      </c>
      <c r="V37" s="50">
        <f t="shared" ref="V37" si="76">+V36/U36-1</f>
        <v>0.28677728623050558</v>
      </c>
      <c r="W37" s="70">
        <f t="shared" ref="W37" si="77">+W36/V36-1</f>
        <v>-0.2404148163050237</v>
      </c>
      <c r="X37" s="70">
        <f t="shared" ref="X37" si="78">+X36/W36-1</f>
        <v>-0.19408280489176644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25" t="s">
        <v>293</v>
      </c>
      <c r="B39" s="326"/>
      <c r="C39" s="326"/>
      <c r="D39" s="326"/>
      <c r="E39" s="326"/>
      <c r="F39" s="326"/>
      <c r="G39" s="326"/>
      <c r="H39" s="326"/>
      <c r="I39" s="326"/>
      <c r="J39" s="326"/>
      <c r="K39" s="326"/>
      <c r="L39" s="327"/>
      <c r="M39" s="2"/>
      <c r="N39" s="325" t="s">
        <v>289</v>
      </c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7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79">+C40+1</f>
        <v>2018</v>
      </c>
      <c r="E40" s="39">
        <f t="shared" si="79"/>
        <v>2019</v>
      </c>
      <c r="F40" s="39">
        <f t="shared" si="79"/>
        <v>2020</v>
      </c>
      <c r="G40" s="39">
        <f t="shared" si="79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80">+P40+1</f>
        <v>2018</v>
      </c>
      <c r="R40" s="64">
        <f t="shared" si="80"/>
        <v>2019</v>
      </c>
      <c r="S40" s="64">
        <f t="shared" ref="S40" si="81">+R40+1</f>
        <v>2020</v>
      </c>
      <c r="T40" s="64">
        <f t="shared" ref="T40" si="82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17044.002963398318</v>
      </c>
      <c r="C41" s="160">
        <f>+'[1]10.PRECIO DEL VINO DE TRASLADO'!X449</f>
        <v>28940.84894701267</v>
      </c>
      <c r="D41" s="160">
        <f>+'[1]10.PRECIO DEL VINO DE TRASLADO'!X461</f>
        <v>36812.762225907696</v>
      </c>
      <c r="E41" s="160">
        <f>+'[1]10.PRECIO DEL VINO DE TRASLADO'!X473</f>
        <v>25686.890521909347</v>
      </c>
      <c r="F41" s="160">
        <f>+'[1]10.PRECIO DEL VINO DE TRASLADO'!X485</f>
        <v>18491.706132258132</v>
      </c>
      <c r="G41" s="160">
        <f>+'[1]10.PRECIO DEL VINO DE TRASLADO'!X497</f>
        <v>33953.949077109719</v>
      </c>
      <c r="H41" s="160">
        <f>+'[1]10.PRECIO DEL VINO DE TRASLADO'!X509</f>
        <v>46520.442826234437</v>
      </c>
      <c r="I41" s="160">
        <f>+'[1]10.PRECIO DEL VINO DE TRASLADO'!X521</f>
        <v>34955.848162125549</v>
      </c>
      <c r="J41" s="161">
        <f>+'[1]10.PRECIO DEL VINO DE TRASLADO'!X533</f>
        <v>28095.516871693606</v>
      </c>
      <c r="K41" s="162">
        <f>+'[1]10.PRECIO DEL VINO DE TRASLADO'!X545</f>
        <v>25221.844946025518</v>
      </c>
      <c r="L41" s="7">
        <f>+K41/J41-1</f>
        <v>-0.10228222313159607</v>
      </c>
      <c r="M41" s="2"/>
      <c r="N41" s="42" t="s">
        <v>10</v>
      </c>
      <c r="O41" s="160">
        <f>+AVERAGE('[1]10.PRECIO DEL VINO DE TRASLADO'!X426:X437)</f>
        <v>21821.338379358425</v>
      </c>
      <c r="P41" s="160">
        <f>+(SUM(C41)+SUM(B42:B52))/12</f>
        <v>26058.405945698367</v>
      </c>
      <c r="Q41" s="160">
        <f t="shared" ref="Q41" si="83">+(SUM(D41)+SUM(C42:C52))/12</f>
        <v>40185.773563476345</v>
      </c>
      <c r="R41" s="160">
        <f t="shared" ref="R41:X41" si="84">+(SUM(E41)+SUM(D42:D52))/12</f>
        <v>32059.235264659965</v>
      </c>
      <c r="S41" s="160">
        <f t="shared" si="84"/>
        <v>20370.60181504253</v>
      </c>
      <c r="T41" s="160">
        <f t="shared" si="84"/>
        <v>26141.258792958881</v>
      </c>
      <c r="U41" s="160">
        <f t="shared" si="84"/>
        <v>45305.109453983743</v>
      </c>
      <c r="V41" s="160">
        <f t="shared" si="84"/>
        <v>41808.197169432482</v>
      </c>
      <c r="W41" s="161">
        <f t="shared" si="84"/>
        <v>44163.691899334808</v>
      </c>
      <c r="X41" s="162">
        <f t="shared" si="84"/>
        <v>28678.851850559386</v>
      </c>
      <c r="Y41" s="78">
        <f>+X41/W41-1</f>
        <v>-0.35062376768842218</v>
      </c>
      <c r="Z41" s="7">
        <f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19883.510404954959</v>
      </c>
      <c r="C42" s="160">
        <f>+'[1]10.PRECIO DEL VINO DE TRASLADO'!X450</f>
        <v>29220.688415488639</v>
      </c>
      <c r="D42" s="160">
        <f>+'[1]10.PRECIO DEL VINO DE TRASLADO'!X462</f>
        <v>41501.7924476724</v>
      </c>
      <c r="E42" s="160">
        <f>+'[1]10.PRECIO DEL VINO DE TRASLADO'!X474</f>
        <v>24009.576781949014</v>
      </c>
      <c r="F42" s="160">
        <f>+'[1]10.PRECIO DEL VINO DE TRASLADO'!X486</f>
        <v>19648.22117126314</v>
      </c>
      <c r="G42" s="160">
        <f>+'[1]10.PRECIO DEL VINO DE TRASLADO'!X498</f>
        <v>39051.575560497804</v>
      </c>
      <c r="H42" s="160">
        <f>+'[1]10.PRECIO DEL VINO DE TRASLADO'!X510</f>
        <v>43169.604159681941</v>
      </c>
      <c r="I42" s="160">
        <f>+'[1]10.PRECIO DEL VINO DE TRASLADO'!X522</f>
        <v>37173.442691108619</v>
      </c>
      <c r="J42" s="161">
        <f>+'[1]10.PRECIO DEL VINO DE TRASLADO'!X534</f>
        <v>28011.473584361051</v>
      </c>
      <c r="K42" s="162">
        <f>+'[1]10.PRECIO DEL VINO DE TRASLADO'!X546</f>
        <v>25378.08014904318</v>
      </c>
      <c r="L42" s="7">
        <f>+K42/J42-1</f>
        <v>-9.4011242478443058E-2</v>
      </c>
      <c r="M42" s="2"/>
      <c r="N42" s="42" t="s">
        <v>11</v>
      </c>
      <c r="O42" s="160">
        <f>+AVERAGE('[1]10.PRECIO DEL VINO DE TRASLADO'!X427:X438)</f>
        <v>21572.664530117454</v>
      </c>
      <c r="P42" s="160">
        <f t="shared" ref="P42:U42" si="85">+(SUM(C41:C42)+SUM(B43:B52))/12</f>
        <v>26836.504113242841</v>
      </c>
      <c r="Q42" s="160">
        <f t="shared" si="85"/>
        <v>41209.198899491654</v>
      </c>
      <c r="R42" s="160">
        <f t="shared" si="85"/>
        <v>30601.550625849686</v>
      </c>
      <c r="S42" s="160">
        <f t="shared" si="85"/>
        <v>20007.155514152037</v>
      </c>
      <c r="T42" s="160">
        <f t="shared" si="85"/>
        <v>27758.204992061768</v>
      </c>
      <c r="U42" s="160">
        <f t="shared" si="85"/>
        <v>45648.278503915753</v>
      </c>
      <c r="V42" s="160">
        <f t="shared" ref="V42" si="86">+(SUM(I41:I42)+SUM(H43:H52))/12</f>
        <v>41308.517047051369</v>
      </c>
      <c r="W42" s="161">
        <f t="shared" ref="W42" si="87">+(SUM(J41:J42)+SUM(I43:I52))/12</f>
        <v>43400.194473772506</v>
      </c>
      <c r="X42" s="162">
        <f t="shared" ref="X42" si="88">+(SUM(K41:K42)+SUM(J43:J52))/12</f>
        <v>28459.402397616232</v>
      </c>
      <c r="Y42" s="78">
        <f>+X42/W42-1</f>
        <v>-0.34425633933933764</v>
      </c>
      <c r="Z42" s="7">
        <f>+POWER(X42/S42,0.2)-1</f>
        <v>7.3020664236369992E-2</v>
      </c>
    </row>
    <row r="43" spans="1:26" x14ac:dyDescent="0.25">
      <c r="A43" s="42" t="s">
        <v>0</v>
      </c>
      <c r="B43" s="160">
        <f>+'[1]10.PRECIO DEL VINO DE TRASLADO'!X439</f>
        <v>20933.533808456974</v>
      </c>
      <c r="C43" s="160">
        <f>+'[1]10.PRECIO DEL VINO DE TRASLADO'!X451</f>
        <v>32576.47362184259</v>
      </c>
      <c r="D43" s="160">
        <f>+'[1]10.PRECIO DEL VINO DE TRASLADO'!X463</f>
        <v>37707.317356129548</v>
      </c>
      <c r="E43" s="160">
        <f>+'[1]10.PRECIO DEL VINO DE TRASLADO'!X475</f>
        <v>23939.912047625723</v>
      </c>
      <c r="F43" s="160">
        <f>+'[1]10.PRECIO DEL VINO DE TRASLADO'!X487</f>
        <v>20201.350807180297</v>
      </c>
      <c r="G43" s="160">
        <f>+'[1]10.PRECIO DEL VINO DE TRASLADO'!X499</f>
        <v>32889.50897200247</v>
      </c>
      <c r="H43" s="160">
        <f>+'[1]10.PRECIO DEL VINO DE TRASLADO'!X511</f>
        <v>50456.639571981759</v>
      </c>
      <c r="I43" s="160">
        <f>+'[1]10.PRECIO DEL VINO DE TRASLADO'!X523</f>
        <v>55094.507761582005</v>
      </c>
      <c r="J43" s="161">
        <f>+'[1]10.PRECIO DEL VINO DE TRASLADO'!X535</f>
        <v>30767.743183686143</v>
      </c>
      <c r="K43" s="162">
        <f>+'[1]10.PRECIO DEL VINO DE TRASLADO'!X547</f>
        <v>24261.053972237234</v>
      </c>
      <c r="L43" s="7">
        <f>+K43/J43-1</f>
        <v>-0.21147762358140476</v>
      </c>
      <c r="M43" s="2"/>
      <c r="N43" s="42" t="s">
        <v>0</v>
      </c>
      <c r="O43" s="160">
        <f>+AVERAGE('[1]10.PRECIO DEL VINO DE TRASLADO'!X428:X439)</f>
        <v>21328.716716596413</v>
      </c>
      <c r="P43" s="160">
        <f>+(SUM(C41:C43)+SUM(B44:B52))/12</f>
        <v>27806.749097691634</v>
      </c>
      <c r="Q43" s="160">
        <f t="shared" ref="Q43" si="89">+(SUM(D41:D43)+SUM(C44:C52))/12</f>
        <v>41636.769210682229</v>
      </c>
      <c r="R43" s="160">
        <f>+(SUM(E41:E43)+SUM(D44:D52))/12</f>
        <v>29454.266850141023</v>
      </c>
      <c r="S43" s="160">
        <f>+(SUM(F41:F43)+SUM(E44:E52))/12</f>
        <v>19695.608744114917</v>
      </c>
      <c r="T43" s="160">
        <f>+(SUM(G41:G43)+SUM(F44:F52))/12</f>
        <v>28815.55150579695</v>
      </c>
      <c r="U43" s="160">
        <f>+(SUM(H41:H43)+SUM(G44:G52))/12</f>
        <v>47112.206053914029</v>
      </c>
      <c r="V43" s="160">
        <f t="shared" ref="V43" si="90">+(SUM(I41:I43)+SUM(H44:H52))/12</f>
        <v>41695.006062851382</v>
      </c>
      <c r="W43" s="161">
        <f t="shared" ref="W43" si="91">+(SUM(J41:J43)+SUM(I44:I52))/12</f>
        <v>41372.964092281174</v>
      </c>
      <c r="X43" s="162">
        <f t="shared" ref="X43" si="92">+(SUM(K41:K43)+SUM(J44:J52))/12</f>
        <v>27917.178296662154</v>
      </c>
      <c r="Y43" s="78">
        <f>+X43/W43-1</f>
        <v>-0.32523137007071301</v>
      </c>
      <c r="Z43" s="7">
        <f>+POWER(X43/S43,0.2)-1</f>
        <v>7.2260783100523751E-2</v>
      </c>
    </row>
    <row r="44" spans="1:26" x14ac:dyDescent="0.25">
      <c r="A44" s="42" t="s">
        <v>1</v>
      </c>
      <c r="B44" s="160">
        <f>+'[1]10.PRECIO DEL VINO DE TRASLADO'!X440</f>
        <v>24974.760564681888</v>
      </c>
      <c r="C44" s="160">
        <f>+'[1]10.PRECIO DEL VINO DE TRASLADO'!X452</f>
        <v>41227.538671906914</v>
      </c>
      <c r="D44" s="160">
        <f>+'[1]10.PRECIO DEL VINO DE TRASLADO'!X464</f>
        <v>35055.734332211112</v>
      </c>
      <c r="E44" s="160">
        <f>+'[1]10.PRECIO DEL VINO DE TRASLADO'!X476</f>
        <v>22013.407320277129</v>
      </c>
      <c r="F44" s="160">
        <f>+'[1]10.PRECIO DEL VINO DE TRASLADO'!X488</f>
        <v>14824.206761754114</v>
      </c>
      <c r="G44" s="160">
        <f>+'[1]10.PRECIO DEL VINO DE TRASLADO'!X500</f>
        <v>52366.651270191986</v>
      </c>
      <c r="H44" s="160">
        <f>+'[1]10.PRECIO DEL VINO DE TRASLADO'!X512</f>
        <v>55800.925305625831</v>
      </c>
      <c r="I44" s="160">
        <f>+'[1]10.PRECIO DEL VINO DE TRASLADO'!X524</f>
        <v>85759.967057992719</v>
      </c>
      <c r="J44" s="161">
        <f>+'[1]10.PRECIO DEL VINO DE TRASLADO'!X536</f>
        <v>32428.287744287816</v>
      </c>
      <c r="K44" s="162">
        <f>+'[2]10.PRECIO DEL VINO DE TRASLADO'!$X$548</f>
        <v>21434.899141600301</v>
      </c>
      <c r="L44" s="7">
        <f>+K44/J44-1</f>
        <v>-0.3390061383868157</v>
      </c>
      <c r="M44" s="2"/>
      <c r="N44" s="42" t="s">
        <v>1</v>
      </c>
      <c r="O44" s="160">
        <f>+AVERAGE('[1]10.PRECIO DEL VINO DE TRASLADO'!X429:X440)</f>
        <v>21592.510936404979</v>
      </c>
      <c r="P44" s="160">
        <f>+(SUM(C41:C44)+SUM(B45:B52))/12</f>
        <v>29161.147273293722</v>
      </c>
      <c r="Q44" s="160">
        <f t="shared" ref="Q44" si="93">+(SUM(D41:D44)+SUM(C45:C52))/12</f>
        <v>41122.452182374247</v>
      </c>
      <c r="R44" s="160">
        <f>+(SUM(E41:E44)+SUM(D45:D52))/12</f>
        <v>28367.406265813192</v>
      </c>
      <c r="S44" s="160">
        <f>+(SUM(F41:F44)+SUM(E45:E52))/12</f>
        <v>19096.508697571331</v>
      </c>
      <c r="T44" s="160">
        <f>+(SUM(G41:G44)+SUM(F45:F52))/12</f>
        <v>31944.088548166776</v>
      </c>
      <c r="U44" s="160">
        <f>+(SUM(H41:H44)+SUM(G45:G52))/12</f>
        <v>47398.395556866853</v>
      </c>
      <c r="V44" s="160">
        <f t="shared" ref="V44" si="94">+(SUM(I41:I44)+SUM(H45:H52))/12</f>
        <v>44191.592875548631</v>
      </c>
      <c r="W44" s="161">
        <f t="shared" ref="W44" si="95">+(SUM(J41:J44)+SUM(I45:I52))/12</f>
        <v>36928.657482805771</v>
      </c>
      <c r="X44" s="162">
        <f t="shared" ref="X44" si="96">+(SUM(K41:K44)+SUM(J45:J52))/12</f>
        <v>27001.062579771529</v>
      </c>
      <c r="Y44" s="78">
        <f>+X44/W44-1</f>
        <v>-0.26883173068657029</v>
      </c>
      <c r="Z44" s="7">
        <f>+POWER(X44/S44,0.2)-1</f>
        <v>7.1729971304993256E-2</v>
      </c>
    </row>
    <row r="45" spans="1:26" x14ac:dyDescent="0.25">
      <c r="A45" s="42" t="s">
        <v>2</v>
      </c>
      <c r="B45" s="160">
        <f>+'[1]10.PRECIO DEL VINO DE TRASLADO'!X441</f>
        <v>26211.728283849596</v>
      </c>
      <c r="C45" s="160">
        <f>+'[1]10.PRECIO DEL VINO DE TRASLADO'!X453</f>
        <v>50066.882337476789</v>
      </c>
      <c r="D45" s="160">
        <f>+'[1]10.PRECIO DEL VINO DE TRASLADO'!X465</f>
        <v>34941.367018606856</v>
      </c>
      <c r="E45" s="160">
        <f>+'[1]10.PRECIO DEL VINO DE TRASLADO'!X477</f>
        <v>19389.72316105595</v>
      </c>
      <c r="F45" s="160">
        <f>+'[1]10.PRECIO DEL VINO DE TRASLADO'!X489</f>
        <v>26127.27153363049</v>
      </c>
      <c r="G45" s="160">
        <f>+'[1]10.PRECIO DEL VINO DE TRASLADO'!X501</f>
        <v>63252.754971312017</v>
      </c>
      <c r="H45" s="160">
        <f>+'[1]10.PRECIO DEL VINO DE TRASLADO'!X513</f>
        <v>48908.809412476709</v>
      </c>
      <c r="I45" s="160">
        <f>+'[1]10.PRECIO DEL VINO DE TRASLADO'!X525</f>
        <v>64319.169440719343</v>
      </c>
      <c r="J45" s="161">
        <f>+'[1]10.PRECIO DEL VINO DE TRASLADO'!X537</f>
        <v>26719.883543965232</v>
      </c>
      <c r="K45" s="162"/>
      <c r="L45" s="7"/>
      <c r="M45" s="2"/>
      <c r="N45" s="42" t="s">
        <v>2</v>
      </c>
      <c r="O45" s="160">
        <f>+AVERAGE('[1]10.PRECIO DEL VINO DE TRASLADO'!X430:X441)</f>
        <v>22029.157921038106</v>
      </c>
      <c r="P45" s="160">
        <f>+(SUM(C41:C45)+SUM(B46:B52))/12</f>
        <v>31149.076777762657</v>
      </c>
      <c r="Q45" s="160">
        <f t="shared" ref="Q45" si="97">+(SUM(D41:D45)+SUM(C46:C52))/12</f>
        <v>39861.992572468422</v>
      </c>
      <c r="R45" s="160">
        <f>+(SUM(E41:E45)+SUM(D46:D52))/12</f>
        <v>27071.435944350622</v>
      </c>
      <c r="S45" s="160">
        <f>+(SUM(F41:F45)+SUM(E46:E52))/12</f>
        <v>19657.971061952547</v>
      </c>
      <c r="T45" s="160">
        <f>+(SUM(G41:G45)+SUM(F46:F52))/12</f>
        <v>35037.878834640236</v>
      </c>
      <c r="U45" s="160">
        <f>+(SUM(H41:H45)+SUM(G46:G52))/12</f>
        <v>46203.066760297246</v>
      </c>
      <c r="V45" s="160">
        <f t="shared" ref="V45" si="98">+(SUM(I41:I45)+SUM(H46:H52))/12</f>
        <v>45475.789544568841</v>
      </c>
      <c r="W45" s="161">
        <f t="shared" ref="W45" si="99">+(SUM(J41:J45)+SUM(I46:I52))/12</f>
        <v>33795.383658076258</v>
      </c>
      <c r="X45" s="162"/>
      <c r="Y45" s="78"/>
      <c r="Z45" s="7"/>
    </row>
    <row r="46" spans="1:26" x14ac:dyDescent="0.25">
      <c r="A46" s="42" t="s">
        <v>3</v>
      </c>
      <c r="B46" s="160">
        <f>+'[1]10.PRECIO DEL VINO DE TRASLADO'!X442</f>
        <v>22381.631365049328</v>
      </c>
      <c r="C46" s="160">
        <f>+'[1]10.PRECIO DEL VINO DE TRASLADO'!X454</f>
        <v>40762.61518178603</v>
      </c>
      <c r="D46" s="160">
        <f>+'[1]10.PRECIO DEL VINO DE TRASLADO'!X466</f>
        <v>35992.72483847801</v>
      </c>
      <c r="E46" s="160">
        <f>+'[1]10.PRECIO DEL VINO DE TRASLADO'!X478</f>
        <v>21198.983071317463</v>
      </c>
      <c r="F46" s="160">
        <f>+'[1]10.PRECIO DEL VINO DE TRASLADO'!X490</f>
        <v>26705.770454161535</v>
      </c>
      <c r="G46" s="160">
        <f>+'[1]10.PRECIO DEL VINO DE TRASLADO'!X502</f>
        <v>58219.350280485327</v>
      </c>
      <c r="H46" s="160">
        <f>+'[1]10.PRECIO DEL VINO DE TRASLADO'!X514</f>
        <v>46211.844591698864</v>
      </c>
      <c r="I46" s="160">
        <f>+'[1]10.PRECIO DEL VINO DE TRASLADO'!X526</f>
        <v>53382.072541260255</v>
      </c>
      <c r="J46" s="161">
        <f>+'[1]10.PRECIO DEL VINO DE TRASLADO'!X538</f>
        <v>34437.269666559361</v>
      </c>
      <c r="K46" s="162"/>
      <c r="L46" s="7"/>
      <c r="M46" s="2"/>
      <c r="N46" s="42" t="s">
        <v>3</v>
      </c>
      <c r="O46" s="160">
        <f>+AVERAGE('[1]10.PRECIO DEL VINO DE TRASLADO'!X431:X442)</f>
        <v>22144.505249081161</v>
      </c>
      <c r="P46" s="160">
        <f>+(SUM(C41:C46)+SUM(B47:B52))/12</f>
        <v>32680.825429157379</v>
      </c>
      <c r="Q46" s="160">
        <f t="shared" ref="Q46" si="100">+(SUM(D41:D46)+SUM(C47:C52))/12</f>
        <v>39464.501710526085</v>
      </c>
      <c r="R46" s="160">
        <f>+(SUM(E41:E46)+SUM(D47:D52))/12</f>
        <v>25838.624130420572</v>
      </c>
      <c r="S46" s="160">
        <f>+(SUM(F41:F46)+SUM(E47:E52))/12</f>
        <v>20116.870010522882</v>
      </c>
      <c r="T46" s="160">
        <f>+(SUM(G41:G46)+SUM(F47:F52))/12</f>
        <v>37664.010486833889</v>
      </c>
      <c r="U46" s="160">
        <f>+(SUM(H41:H46)+SUM(G47:G52))/12</f>
        <v>45202.441286231704</v>
      </c>
      <c r="V46" s="160">
        <f t="shared" ref="V46" si="101">+(SUM(I41:I46)+SUM(H47:H52))/12</f>
        <v>46073.30854036563</v>
      </c>
      <c r="W46" s="161">
        <f t="shared" ref="W46" si="102">+(SUM(J41:J46)+SUM(I47:I52))/12</f>
        <v>32216.650085184519</v>
      </c>
      <c r="X46" s="162"/>
      <c r="Y46" s="78"/>
      <c r="Z46" s="7"/>
    </row>
    <row r="47" spans="1:26" x14ac:dyDescent="0.25">
      <c r="A47" s="42" t="s">
        <v>4</v>
      </c>
      <c r="B47" s="160">
        <f>+'[1]10.PRECIO DEL VINO DE TRASLADO'!X443</f>
        <v>26117.32649461885</v>
      </c>
      <c r="C47" s="160">
        <f>+'[1]10.PRECIO DEL VINO DE TRASLADO'!X455</f>
        <v>43932.26563984574</v>
      </c>
      <c r="D47" s="160">
        <f>+'[1]10.PRECIO DEL VINO DE TRASLADO'!X467</f>
        <v>32974.863529951843</v>
      </c>
      <c r="E47" s="160">
        <f>+'[1]10.PRECIO DEL VINO DE TRASLADO'!X479</f>
        <v>21457.223358734005</v>
      </c>
      <c r="F47" s="160">
        <f>+'[1]10.PRECIO DEL VINO DE TRASLADO'!X491</f>
        <v>24315.366579617763</v>
      </c>
      <c r="G47" s="160">
        <f>+'[1]10.PRECIO DEL VINO DE TRASLADO'!X503</f>
        <v>49163.45539447054</v>
      </c>
      <c r="H47" s="160">
        <f>+'[1]10.PRECIO DEL VINO DE TRASLADO'!X515</f>
        <v>42708.881985678883</v>
      </c>
      <c r="I47" s="160">
        <f>+'[1]10.PRECIO DEL VINO DE TRASLADO'!X527</f>
        <v>37195.055222477771</v>
      </c>
      <c r="J47" s="161">
        <f>+'[1]10.PRECIO DEL VINO DE TRASLADO'!X539</f>
        <v>30782.368725979224</v>
      </c>
      <c r="K47" s="162"/>
      <c r="L47" s="7"/>
      <c r="M47" s="2"/>
      <c r="N47" s="42" t="s">
        <v>4</v>
      </c>
      <c r="O47" s="160">
        <f>+AVERAGE('[1]10.PRECIO DEL VINO DE TRASLADO'!X432:X443)</f>
        <v>21467.586928361965</v>
      </c>
      <c r="P47" s="160">
        <f>+(SUM(C41:C47)+SUM(B48:B52))/12</f>
        <v>34165.40369125962</v>
      </c>
      <c r="Q47" s="160">
        <f t="shared" ref="Q47" si="103">+(SUM(D41:D47)+SUM(C48:C52))/12</f>
        <v>38551.384868034926</v>
      </c>
      <c r="R47" s="160">
        <f>+(SUM(E41:E47)+SUM(D48:D52))/12</f>
        <v>24878.820782819083</v>
      </c>
      <c r="S47" s="160">
        <f>+(SUM(F41:F47)+SUM(E48:E52))/12</f>
        <v>20355.048612263196</v>
      </c>
      <c r="T47" s="160">
        <f>+(SUM(G41:G47)+SUM(F48:F52))/12</f>
        <v>39734.684554738284</v>
      </c>
      <c r="U47" s="160">
        <f>+(SUM(H41:H47)+SUM(G48:G52))/12</f>
        <v>44664.560168832395</v>
      </c>
      <c r="V47" s="160">
        <f t="shared" ref="V47" si="104">+(SUM(I41:I47)+SUM(H48:H52))/12</f>
        <v>45613.822976765536</v>
      </c>
      <c r="W47" s="161">
        <f t="shared" ref="W47" si="105">+(SUM(J41:J47)+SUM(I48:I52))/12</f>
        <v>31682.259543809643</v>
      </c>
      <c r="X47" s="162"/>
      <c r="Y47" s="78"/>
      <c r="Z47" s="7"/>
    </row>
    <row r="48" spans="1:26" x14ac:dyDescent="0.25">
      <c r="A48" s="42" t="s">
        <v>5</v>
      </c>
      <c r="B48" s="160">
        <f>+'[1]10.PRECIO DEL VINO DE TRASLADO'!X444</f>
        <v>25434.574041391286</v>
      </c>
      <c r="C48" s="160">
        <f>+'[1]10.PRECIO DEL VINO DE TRASLADO'!X456</f>
        <v>41103.206831209493</v>
      </c>
      <c r="D48" s="160">
        <f>+'[1]10.PRECIO DEL VINO DE TRASLADO'!X468</f>
        <v>28984.632380185241</v>
      </c>
      <c r="E48" s="160">
        <f>+'[1]10.PRECIO DEL VINO DE TRASLADO'!X480</f>
        <v>19165.248850955471</v>
      </c>
      <c r="F48" s="160">
        <f>+'[1]10.PRECIO DEL VINO DE TRASLADO'!X492</f>
        <v>24882.161357124565</v>
      </c>
      <c r="G48" s="160">
        <f>+'[1]10.PRECIO DEL VINO DE TRASLADO'!X504</f>
        <v>50105.580192625486</v>
      </c>
      <c r="H48" s="160">
        <f>+'[1]10.PRECIO DEL VINO DE TRASLADO'!X516</f>
        <v>47177.573003807054</v>
      </c>
      <c r="I48" s="160">
        <f>+'[1]10.PRECIO DEL VINO DE TRASLADO'!X528</f>
        <v>37646.37823956021</v>
      </c>
      <c r="J48" s="161">
        <f>+'[1]10.PRECIO DEL VINO DE TRASLADO'!X540</f>
        <v>26675.949357907193</v>
      </c>
      <c r="K48" s="162"/>
      <c r="L48" s="7"/>
      <c r="M48" s="2"/>
      <c r="N48" s="42" t="s">
        <v>5</v>
      </c>
      <c r="O48" s="160">
        <f>+AVERAGE('[1]10.PRECIO DEL VINO DE TRASLADO'!X433:X444)</f>
        <v>21861.773224614066</v>
      </c>
      <c r="P48" s="160">
        <f>+(SUM(C41:C48)+SUM(B49:B52))/12</f>
        <v>35471.123090411136</v>
      </c>
      <c r="Q48" s="160">
        <f t="shared" ref="Q48" si="106">+(SUM(D41:D48)+SUM(C49:C52))/12</f>
        <v>37541.503663782903</v>
      </c>
      <c r="R48" s="160">
        <f>+(SUM(E41:E48)+SUM(D49:D52))/12</f>
        <v>24060.538822049941</v>
      </c>
      <c r="S48" s="160">
        <f>+(SUM(F41:F48)+SUM(E49:E52))/12</f>
        <v>20831.457987777289</v>
      </c>
      <c r="T48" s="160">
        <f>+(SUM(G41:G48)+SUM(F49:F52))/12</f>
        <v>41836.636124363358</v>
      </c>
      <c r="U48" s="160">
        <f>+(SUM(H41:H48)+SUM(G49:G52))/12</f>
        <v>44420.559569764191</v>
      </c>
      <c r="V48" s="160">
        <f t="shared" ref="V48" si="107">+(SUM(I41:I48)+SUM(H49:H52))/12</f>
        <v>44819.556746411632</v>
      </c>
      <c r="W48" s="161">
        <f t="shared" ref="W48" si="108">+(SUM(J41:J48)+SUM(I49:I52))/12</f>
        <v>30768.05713700522</v>
      </c>
      <c r="X48" s="162"/>
      <c r="Y48" s="78"/>
      <c r="Z48" s="7"/>
    </row>
    <row r="49" spans="1:26" x14ac:dyDescent="0.25">
      <c r="A49" s="42" t="s">
        <v>6</v>
      </c>
      <c r="B49" s="160">
        <f>+'[1]10.PRECIO DEL VINO DE TRASLADO'!X445</f>
        <v>25954.654300077545</v>
      </c>
      <c r="C49" s="160">
        <f>+'[1]10.PRECIO DEL VINO DE TRASLADO'!X457</f>
        <v>43829.340014003334</v>
      </c>
      <c r="D49" s="160">
        <f>+'[1]10.PRECIO DEL VINO DE TRASLADO'!X469</f>
        <v>27686.189686290149</v>
      </c>
      <c r="E49" s="160">
        <f>+'[1]10.PRECIO DEL VINO DE TRASLADO'!X481</f>
        <v>18886.138711600761</v>
      </c>
      <c r="F49" s="160">
        <f>+'[1]10.PRECIO DEL VINO DE TRASLADO'!X493</f>
        <v>31751.332427734596</v>
      </c>
      <c r="G49" s="160">
        <f>+'[1]10.PRECIO DEL VINO DE TRASLADO'!X505</f>
        <v>42937.240058798532</v>
      </c>
      <c r="H49" s="160">
        <f>+'[1]10.PRECIO DEL VINO DE TRASLADO'!X517</f>
        <v>40439.857811154092</v>
      </c>
      <c r="I49" s="160">
        <f>+'[1]10.PRECIO DEL VINO DE TRASLADO'!X529</f>
        <v>32668.664029388052</v>
      </c>
      <c r="J49" s="161">
        <f>+'[1]10.PRECIO DEL VINO DE TRASLADO'!X541</f>
        <v>24859.575739781118</v>
      </c>
      <c r="K49" s="162"/>
      <c r="L49" s="7"/>
      <c r="M49" s="2"/>
      <c r="N49" s="42" t="s">
        <v>6</v>
      </c>
      <c r="O49" s="160">
        <f>+AVERAGE('[1]10.PRECIO DEL VINO DE TRASLADO'!X434:X445)</f>
        <v>22194.369569124523</v>
      </c>
      <c r="P49" s="160">
        <f>+(SUM(C41:C49)+SUM(B50:B52))/12</f>
        <v>36960.680233238287</v>
      </c>
      <c r="Q49" s="160">
        <f t="shared" ref="Q49" si="109">+(SUM(D41:D49)+SUM(C50:C52))/12</f>
        <v>36196.241136473473</v>
      </c>
      <c r="R49" s="160">
        <f>+(SUM(E41:E49)+SUM(D50:D52))/12</f>
        <v>23327.201240825827</v>
      </c>
      <c r="S49" s="160">
        <f>+(SUM(F41:F49)+SUM(E50:E52))/12</f>
        <v>21903.557464121772</v>
      </c>
      <c r="T49" s="160">
        <f>+(SUM(G41:G49)+SUM(F50:F52))/12</f>
        <v>42768.79509361869</v>
      </c>
      <c r="U49" s="160">
        <f>+(SUM(H41:H49)+SUM(G50:G52))/12</f>
        <v>44212.44438246049</v>
      </c>
      <c r="V49" s="160">
        <f t="shared" ref="V49" si="110">+(SUM(I41:I49)+SUM(H50:H52))/12</f>
        <v>44171.957264597797</v>
      </c>
      <c r="W49" s="161">
        <f t="shared" ref="W49" si="111">+(SUM(J41:J49)+SUM(I50:I52))/12</f>
        <v>30117.299779537978</v>
      </c>
      <c r="X49" s="162"/>
      <c r="Y49" s="78"/>
      <c r="Z49" s="7"/>
    </row>
    <row r="50" spans="1:26" x14ac:dyDescent="0.25">
      <c r="A50" s="42" t="s">
        <v>7</v>
      </c>
      <c r="B50" s="160">
        <f>+'[1]10.PRECIO DEL VINO DE TRASLADO'!X446</f>
        <v>30168.669301298349</v>
      </c>
      <c r="C50" s="160">
        <f>+'[1]10.PRECIO DEL VINO DE TRASLADO'!X458</f>
        <v>44942.071058369744</v>
      </c>
      <c r="D50" s="160">
        <f>+'[1]10.PRECIO DEL VINO DE TRASLADO'!X470</f>
        <v>27104.457940709653</v>
      </c>
      <c r="E50" s="160">
        <f>+'[1]10.PRECIO DEL VINO DE TRASLADO'!X482</f>
        <v>17794.153167798097</v>
      </c>
      <c r="F50" s="160">
        <f>+'[1]10.PRECIO DEL VINO DE TRASLADO'!X494</f>
        <v>32394.201883060978</v>
      </c>
      <c r="G50" s="160">
        <f>+'[1]10.PRECIO DEL VINO DE TRASLADO'!X506</f>
        <v>40124.276731832688</v>
      </c>
      <c r="H50" s="160">
        <f>+'[1]10.PRECIO DEL VINO DE TRASLADO'!X518</f>
        <v>32894.42522437514</v>
      </c>
      <c r="I50" s="160">
        <f>+'[1]10.PRECIO DEL VINO DE TRASLADO'!X530</f>
        <v>31865.175682225949</v>
      </c>
      <c r="J50" s="161">
        <f>+'[1]10.PRECIO DEL VINO DE TRASLADO'!X542</f>
        <v>29812.296284159995</v>
      </c>
      <c r="K50" s="162"/>
      <c r="L50" s="7"/>
      <c r="M50" s="2"/>
      <c r="N50" s="42" t="s">
        <v>7</v>
      </c>
      <c r="O50" s="160">
        <f>+AVERAGE('[1]10.PRECIO DEL VINO DE TRASLADO'!X435:X446)</f>
        <v>22936.317872583008</v>
      </c>
      <c r="P50" s="160">
        <f>+(SUM(C41:C50)+SUM(B51:B52))/12</f>
        <v>38191.797046327571</v>
      </c>
      <c r="Q50" s="160">
        <f t="shared" ref="Q50" si="112">+(SUM(D41:D50)+SUM(C51:C52))/12</f>
        <v>34709.773376668461</v>
      </c>
      <c r="R50" s="160">
        <f>+(SUM(E41:E50)+SUM(D51:D52))/12</f>
        <v>22551.342509749866</v>
      </c>
      <c r="S50" s="160">
        <f>+(SUM(F41:F50)+SUM(E51:E52))/12</f>
        <v>23120.228190393682</v>
      </c>
      <c r="T50" s="160">
        <f>+(SUM(G41:G50)+SUM(F51:F52))/12</f>
        <v>43412.967997683001</v>
      </c>
      <c r="U50" s="160">
        <f>+(SUM(H41:H50)+SUM(G51:G52))/12</f>
        <v>43609.956756839027</v>
      </c>
      <c r="V50" s="160">
        <f t="shared" ref="V50" si="113">+(SUM(I41:I50)+SUM(H51:H52))/12</f>
        <v>44086.186469418695</v>
      </c>
      <c r="W50" s="161">
        <f t="shared" ref="W50" si="114">+(SUM(J41:J50)+SUM(I51:I52))/12</f>
        <v>29946.226496365813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29532.095407213106</v>
      </c>
      <c r="C51" s="160">
        <f>+'[1]10.PRECIO DEL VINO DE TRASLADO'!X459</f>
        <v>39459.109961548289</v>
      </c>
      <c r="D51" s="160">
        <f>+'[1]10.PRECIO DEL VINO DE TRASLADO'!X471</f>
        <v>28435.456780951859</v>
      </c>
      <c r="E51" s="160">
        <f>+'[1]10.PRECIO DEL VINO DE TRASLADO'!X483</f>
        <v>19269.974069518088</v>
      </c>
      <c r="F51" s="160">
        <f>+'[1]10.PRECIO DEL VINO DE TRASLADO'!X495</f>
        <v>30414.817262215096</v>
      </c>
      <c r="G51" s="160">
        <f>+'[1]10.PRECIO DEL VINO DE TRASLADO'!X507</f>
        <v>34388.386772616439</v>
      </c>
      <c r="H51" s="160">
        <f>+'[1]10.PRECIO DEL VINO DE TRASLADO'!X519</f>
        <v>25338.006093362528</v>
      </c>
      <c r="I51" s="160">
        <f>+'[1]10.PRECIO DEL VINO DE TRASLADO'!X531</f>
        <v>31404.09539660273</v>
      </c>
      <c r="J51" s="161">
        <f>+'[1]10.PRECIO DEL VINO DE TRASLADO'!X543</f>
        <v>28048.489429999998</v>
      </c>
      <c r="K51" s="162"/>
      <c r="L51" s="7"/>
      <c r="M51" s="2"/>
      <c r="N51" s="42" t="s">
        <v>8</v>
      </c>
      <c r="O51" s="160">
        <f>+AVERAGE('[1]10.PRECIO DEL VINO DE TRASLADO'!X436:X447)</f>
        <v>23960.39300745077</v>
      </c>
      <c r="P51" s="160">
        <f>+(SUM(C41:C51)+SUM(B52))/12</f>
        <v>39019.048259188836</v>
      </c>
      <c r="Q51" s="160">
        <f t="shared" ref="Q51" si="115">+(SUM(D41:D51)+SUM(C52))/12</f>
        <v>33791.135611618767</v>
      </c>
      <c r="R51" s="160">
        <f>+(SUM(E41:E51)+SUM(D52))/12</f>
        <v>21787.552283797049</v>
      </c>
      <c r="S51" s="160">
        <f>+(SUM(F41:F51)+SUM(E52))/12</f>
        <v>24048.965123118429</v>
      </c>
      <c r="T51" s="160">
        <f>+(SUM(G41:G51)+SUM(F52))/12</f>
        <v>43744.098790216442</v>
      </c>
      <c r="U51" s="160">
        <f>+(SUM(H41:H51)+SUM(G52))/12</f>
        <v>42855.758366901202</v>
      </c>
      <c r="V51" s="160">
        <f t="shared" ref="V51" si="116">+(SUM(I41:I51)+SUM(H52))/12</f>
        <v>44591.693911355374</v>
      </c>
      <c r="W51" s="161">
        <f t="shared" ref="W51" si="117">+(SUM(J41:J51)+SUM(I52))/12</f>
        <v>29666.592665815584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32167.538429775777</v>
      </c>
      <c r="C52" s="160">
        <f>+'[1]10.PRECIO DEL VINO DE TRASLADO'!X460</f>
        <v>38296.328802330754</v>
      </c>
      <c r="D52" s="160">
        <f>+'[1]10.PRECIO DEL VINO DE TRASLADO'!X472</f>
        <v>28639.396342823511</v>
      </c>
      <c r="E52" s="160">
        <f>+'[1]10.PRECIO DEL VINO DE TRASLADO'!X484</f>
        <v>18831.175107420469</v>
      </c>
      <c r="F52" s="160">
        <f>+'[1]10.PRECIO DEL VINO DE TRASLADO'!X496</f>
        <v>28476.456200654284</v>
      </c>
      <c r="G52" s="160">
        <f>+'[1]10.PRECIO DEL VINO DE TRASLADO'!X508</f>
        <v>34642.090416737199</v>
      </c>
      <c r="H52" s="160">
        <f>+'[1]10.PRECIO DEL VINO DE TRASLADO'!X520</f>
        <v>33635.950711221354</v>
      </c>
      <c r="I52" s="160">
        <f>+'[1]10.PRECIO DEL VINO DE TRASLADO'!X532</f>
        <v>35360.257857406301</v>
      </c>
      <c r="J52" s="161">
        <f>+'[2]10.PRECIO DEL VINO DE TRASLADO'!$X$544</f>
        <v>26381.040000000005</v>
      </c>
      <c r="K52" s="162"/>
      <c r="L52" s="7"/>
      <c r="M52" s="2"/>
      <c r="N52" s="42" t="s">
        <v>9</v>
      </c>
      <c r="O52" s="160">
        <f>+AVERAGE('[1]10.PRECIO DEL VINO DE TRASLADO'!X437:X448)</f>
        <v>25067.002113730501</v>
      </c>
      <c r="P52" s="160">
        <f>+(SUM(C41:C52))/12</f>
        <v>39529.780790235083</v>
      </c>
      <c r="Q52" s="160">
        <f t="shared" ref="Q52" si="118">+(SUM(D41:D52))/12</f>
        <v>32986.391239993165</v>
      </c>
      <c r="R52" s="160">
        <f>+(SUM(E41:E52))/12</f>
        <v>20970.200514180131</v>
      </c>
      <c r="S52" s="160">
        <f>+(SUM(F41:F52))/12</f>
        <v>24852.738547554578</v>
      </c>
      <c r="T52" s="160">
        <f>+(SUM(G41:G52))/12</f>
        <v>44257.90164155668</v>
      </c>
      <c r="U52" s="160">
        <f>+(SUM(H41:H52))/12</f>
        <v>42771.913391441551</v>
      </c>
      <c r="V52" s="160">
        <f t="shared" ref="V52" si="119">+(SUM(I41:I52))/12</f>
        <v>44735.386173537459</v>
      </c>
      <c r="W52" s="161">
        <f t="shared" ref="W52" si="120">+(SUM(J41:J52))/12</f>
        <v>28918.324511031726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25067.002113730501</v>
      </c>
      <c r="C53" s="211">
        <f t="shared" ref="C53" si="121">AVERAGE(C41:C52)</f>
        <v>39529.780790235083</v>
      </c>
      <c r="D53" s="211">
        <f t="shared" ref="D53" si="122">AVERAGE(D41:D52)</f>
        <v>32986.391239993165</v>
      </c>
      <c r="E53" s="211">
        <f t="shared" ref="E53" si="123">AVERAGE(E41:E52)</f>
        <v>20970.200514180131</v>
      </c>
      <c r="F53" s="211">
        <f t="shared" ref="F53" si="124">AVERAGE(F41:F52)</f>
        <v>24852.738547554578</v>
      </c>
      <c r="G53" s="211">
        <f t="shared" ref="G53:I53" si="125">AVERAGE(G41:G52)</f>
        <v>44257.90164155668</v>
      </c>
      <c r="H53" s="211">
        <f t="shared" si="125"/>
        <v>42771.913391441551</v>
      </c>
      <c r="I53" s="211">
        <f t="shared" si="125"/>
        <v>44735.386173537459</v>
      </c>
      <c r="J53" s="212">
        <f t="shared" ref="J53" si="126">AVERAGE(J41:J52)</f>
        <v>28918.324511031726</v>
      </c>
      <c r="K53" s="212"/>
      <c r="L53" s="165"/>
      <c r="M53" s="3"/>
      <c r="N53" s="43" t="s">
        <v>14</v>
      </c>
      <c r="O53" s="163">
        <f t="shared" ref="O53" si="127">+AVERAGE(O41:O52)</f>
        <v>22331.361370705112</v>
      </c>
      <c r="P53" s="163">
        <f>+AVERAGE(P41:P52)</f>
        <v>33085.878478958926</v>
      </c>
      <c r="Q53" s="163">
        <f t="shared" ref="Q53:X53" si="128">+AVERAGE(Q41:Q52)</f>
        <v>38104.759836299221</v>
      </c>
      <c r="R53" s="163">
        <f t="shared" si="128"/>
        <v>25914.014602888081</v>
      </c>
      <c r="S53" s="163">
        <f t="shared" si="128"/>
        <v>21171.392647382101</v>
      </c>
      <c r="T53" s="163">
        <f t="shared" si="128"/>
        <v>36926.339780219576</v>
      </c>
      <c r="U53" s="163">
        <f t="shared" si="128"/>
        <v>44950.390854287347</v>
      </c>
      <c r="V53" s="163">
        <f t="shared" si="128"/>
        <v>44047.584565158737</v>
      </c>
      <c r="W53" s="164">
        <f t="shared" si="128"/>
        <v>34414.691818751751</v>
      </c>
      <c r="X53" s="164">
        <f t="shared" si="128"/>
        <v>28014.123781152324</v>
      </c>
      <c r="Y53" s="79">
        <f>+W53/V53-1</f>
        <v>-0.21869287139132987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29">+C53/B53-1</f>
        <v>0.57696483252708419</v>
      </c>
      <c r="D54" s="50">
        <f t="shared" si="129"/>
        <v>-0.1655306308164074</v>
      </c>
      <c r="E54" s="50">
        <f t="shared" si="129"/>
        <v>-0.36427721475771602</v>
      </c>
      <c r="F54" s="50">
        <f t="shared" si="129"/>
        <v>0.18514548922644103</v>
      </c>
      <c r="G54" s="50">
        <f t="shared" si="129"/>
        <v>0.78080582777110097</v>
      </c>
      <c r="H54" s="50">
        <f t="shared" si="129"/>
        <v>-3.3575659825675896E-2</v>
      </c>
      <c r="I54" s="50">
        <f t="shared" ref="I54:J54" si="130">+I53/H53-1</f>
        <v>4.590565692318993E-2</v>
      </c>
      <c r="J54" s="70">
        <f t="shared" si="130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31">+P53/O53-1</f>
        <v>0.48158806486208605</v>
      </c>
      <c r="Q54" s="50">
        <f t="shared" si="131"/>
        <v>0.15169255247467794</v>
      </c>
      <c r="R54" s="50">
        <f t="shared" si="131"/>
        <v>-0.31992709797367713</v>
      </c>
      <c r="S54" s="50">
        <f t="shared" ref="S54" si="132">+S53/R53-1</f>
        <v>-0.18301378725693163</v>
      </c>
      <c r="T54" s="50">
        <f t="shared" ref="T54" si="133">+T53/S53-1</f>
        <v>0.74416205845512073</v>
      </c>
      <c r="U54" s="50">
        <f t="shared" ref="U54" si="134">+U53/T53-1</f>
        <v>0.21729884743047378</v>
      </c>
      <c r="V54" s="50">
        <f t="shared" ref="V54" si="135">+V53/U53-1</f>
        <v>-2.0084503648815311E-2</v>
      </c>
      <c r="W54" s="70">
        <f t="shared" ref="W54" si="136">+W53/V53-1</f>
        <v>-0.21869287139132987</v>
      </c>
      <c r="X54" s="70">
        <f t="shared" ref="X54" si="137">+X53/W53-1</f>
        <v>-0.18598359303371448</v>
      </c>
      <c r="Y54" s="51"/>
      <c r="Z54" s="52"/>
    </row>
    <row r="55" spans="1:26" ht="15.75" thickBot="1" x14ac:dyDescent="0.3"/>
    <row r="56" spans="1:26" ht="15.75" thickBot="1" x14ac:dyDescent="0.3">
      <c r="A56" s="325" t="s">
        <v>294</v>
      </c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27"/>
      <c r="M56" s="2"/>
      <c r="N56" s="325" t="s">
        <v>288</v>
      </c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7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38">+C57+1</f>
        <v>2018</v>
      </c>
      <c r="E57" s="39">
        <f t="shared" si="138"/>
        <v>2019</v>
      </c>
      <c r="F57" s="39">
        <f t="shared" si="138"/>
        <v>2020</v>
      </c>
      <c r="G57" s="39">
        <f t="shared" si="138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39">+P57+1</f>
        <v>2018</v>
      </c>
      <c r="R57" s="64">
        <f t="shared" si="139"/>
        <v>2019</v>
      </c>
      <c r="S57" s="64">
        <f t="shared" ref="S57" si="140">+R57+1</f>
        <v>2020</v>
      </c>
      <c r="T57" s="64">
        <f t="shared" ref="T57" si="141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24094.947679731977</v>
      </c>
      <c r="C58" s="160">
        <f>+'[1]10.PRECIO DEL VINO DE TRASLADO'!Y449</f>
        <v>55638.99492257613</v>
      </c>
      <c r="D58" s="160">
        <f>+'[1]10.PRECIO DEL VINO DE TRASLADO'!Y461</f>
        <v>51404.730212724666</v>
      </c>
      <c r="E58" s="160">
        <f>+'[1]10.PRECIO DEL VINO DE TRASLADO'!Y473</f>
        <v>31752.641396174167</v>
      </c>
      <c r="F58" s="160">
        <f>+'[1]10.PRECIO DEL VINO DE TRASLADO'!Y485</f>
        <v>21250.615379453047</v>
      </c>
      <c r="G58" s="160">
        <f>+'[1]10.PRECIO DEL VINO DE TRASLADO'!Y497</f>
        <v>39663.138883031221</v>
      </c>
      <c r="H58" s="160">
        <f>+'[1]10.PRECIO DEL VINO DE TRASLADO'!Y509</f>
        <v>55381.797949888096</v>
      </c>
      <c r="I58" s="160">
        <f>+'[1]10.PRECIO DEL VINO DE TRASLADO'!Y521</f>
        <v>46436.622064887066</v>
      </c>
      <c r="J58" s="161">
        <f>+'[1]10.PRECIO DEL VINO DE TRASLADO'!Y533</f>
        <v>36942.299359009849</v>
      </c>
      <c r="K58" s="162">
        <f>+'[1]10.PRECIO DEL VINO DE TRASLADO'!Y545</f>
        <v>30232.129538763496</v>
      </c>
      <c r="L58" s="7">
        <f>+K58/J58-1</f>
        <v>-0.18163920320811899</v>
      </c>
      <c r="M58" s="2"/>
      <c r="N58" s="42" t="s">
        <v>10</v>
      </c>
      <c r="O58" s="160">
        <f>+AVERAGE('[1]10.PRECIO DEL VINO DE TRASLADO'!Y426:Y437)</f>
        <v>28513.561565983302</v>
      </c>
      <c r="P58" s="160">
        <f>+(SUM(C58)+SUM(B59:B69))/12</f>
        <v>45664.802510297246</v>
      </c>
      <c r="Q58" s="160">
        <f t="shared" ref="Q58" si="142">+(SUM(D58)+SUM(C59:C69))/12</f>
        <v>56460.519709401582</v>
      </c>
      <c r="R58" s="160">
        <f t="shared" ref="R58:X58" si="143">+(SUM(E58)+SUM(D59:D69))/12</f>
        <v>41268.791307198</v>
      </c>
      <c r="S58" s="160">
        <f t="shared" si="143"/>
        <v>23100.402586477318</v>
      </c>
      <c r="T58" s="160">
        <f t="shared" si="143"/>
        <v>27772.588570151838</v>
      </c>
      <c r="U58" s="160">
        <f t="shared" si="143"/>
        <v>49338.677939221227</v>
      </c>
      <c r="V58" s="160">
        <f t="shared" si="143"/>
        <v>49253.583325555483</v>
      </c>
      <c r="W58" s="161">
        <f t="shared" si="143"/>
        <v>52270.358092541843</v>
      </c>
      <c r="X58" s="162">
        <f t="shared" si="143"/>
        <v>38049.628357936701</v>
      </c>
      <c r="Y58" s="78">
        <f>+X58/W58-1</f>
        <v>-0.27206107349462016</v>
      </c>
      <c r="Z58" s="7">
        <f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31178.302838104715</v>
      </c>
      <c r="C59" s="160">
        <f>+'[1]10.PRECIO DEL VINO DE TRASLADO'!Y450</f>
        <v>51717.924516765641</v>
      </c>
      <c r="D59" s="160">
        <f>+'[1]10.PRECIO DEL VINO DE TRASLADO'!Y462</f>
        <v>53338.89366580778</v>
      </c>
      <c r="E59" s="160">
        <f>+'[1]10.PRECIO DEL VINO DE TRASLADO'!Y474</f>
        <v>30042.828442969305</v>
      </c>
      <c r="F59" s="160">
        <f>+'[1]10.PRECIO DEL VINO DE TRASLADO'!Y486</f>
        <v>24402.259158930312</v>
      </c>
      <c r="G59" s="160">
        <f>+'[1]10.PRECIO DEL VINO DE TRASLADO'!Y498</f>
        <v>41180.801796833461</v>
      </c>
      <c r="H59" s="160">
        <f>+'[1]10.PRECIO DEL VINO DE TRASLADO'!Y510</f>
        <v>43987.271458530318</v>
      </c>
      <c r="I59" s="160">
        <f>+'[1]10.PRECIO DEL VINO DE TRASLADO'!Y522</f>
        <v>44380.744051910326</v>
      </c>
      <c r="J59" s="161">
        <f>+'[1]10.PRECIO DEL VINO DE TRASLADO'!Y534</f>
        <v>41025.008182610065</v>
      </c>
      <c r="K59" s="162">
        <f>+'[1]10.PRECIO DEL VINO DE TRASLADO'!Y546</f>
        <v>30292.872914622181</v>
      </c>
      <c r="L59" s="7">
        <f>+K59/J59-1</f>
        <v>-0.26159983247820751</v>
      </c>
      <c r="M59" s="2"/>
      <c r="N59" s="42" t="s">
        <v>11</v>
      </c>
      <c r="O59" s="160">
        <f>+AVERAGE('[1]10.PRECIO DEL VINO DE TRASLADO'!Y427:Y438)</f>
        <v>28708.089099566976</v>
      </c>
      <c r="P59" s="160">
        <f>+(SUM(C58:C59)+SUM(B60:B69))/12</f>
        <v>47376.437650185653</v>
      </c>
      <c r="Q59" s="160">
        <f t="shared" ref="Q59" si="144">+(SUM(D58:D59)+SUM(C60:C69))/12</f>
        <v>56595.600471821759</v>
      </c>
      <c r="R59" s="160">
        <f>+(SUM(E58:E59)+SUM(D60:D69))/12</f>
        <v>39327.452538628138</v>
      </c>
      <c r="S59" s="160">
        <f>+(SUM(F58:F59)+SUM(E60:E69))/12</f>
        <v>22630.355146140733</v>
      </c>
      <c r="T59" s="160">
        <f>+(SUM(G58:G59)+SUM(F60:F69))/12</f>
        <v>29170.80045664377</v>
      </c>
      <c r="U59" s="160">
        <f>+(SUM(H58:H59)+SUM(G60:G69))/12</f>
        <v>49572.55041102929</v>
      </c>
      <c r="V59" s="160">
        <f t="shared" ref="V59" si="145">+(SUM(I58:I59)+SUM(H60:H69))/12</f>
        <v>49286.372708337149</v>
      </c>
      <c r="W59" s="161">
        <f t="shared" ref="W59" si="146">+(SUM(J58:J59)+SUM(I60:I69))/12</f>
        <v>51990.713436766819</v>
      </c>
      <c r="X59" s="162">
        <f t="shared" ref="X59" si="147">+(SUM(K58:K59)+SUM(J60:J69))/12</f>
        <v>37155.283752271047</v>
      </c>
      <c r="Y59" s="78">
        <f>+X59/W59-1</f>
        <v>-0.2853476843040289</v>
      </c>
      <c r="Z59" s="7">
        <f>+POWER(X59/S59,0.2)-1</f>
        <v>0.10424601984277349</v>
      </c>
    </row>
    <row r="60" spans="1:26" x14ac:dyDescent="0.25">
      <c r="A60" s="42" t="s">
        <v>0</v>
      </c>
      <c r="B60" s="160">
        <f>+'[1]10.PRECIO DEL VINO DE TRASLADO'!Y439</f>
        <v>39008.423536958915</v>
      </c>
      <c r="C60" s="160">
        <f>+'[1]10.PRECIO DEL VINO DE TRASLADO'!Y451</f>
        <v>58883.568028781956</v>
      </c>
      <c r="D60" s="160">
        <f>+'[1]10.PRECIO DEL VINO DE TRASLADO'!Y463</f>
        <v>51467.815492899033</v>
      </c>
      <c r="E60" s="160">
        <f>+'[1]10.PRECIO DEL VINO DE TRASLADO'!Y475</f>
        <v>27159.754981229624</v>
      </c>
      <c r="F60" s="160">
        <f>+'[1]10.PRECIO DEL VINO DE TRASLADO'!Y487</f>
        <v>22910.818845836435</v>
      </c>
      <c r="G60" s="160">
        <f>+'[1]10.PRECIO DEL VINO DE TRASLADO'!Y499</f>
        <v>42881.29408569412</v>
      </c>
      <c r="H60" s="160">
        <f>+'[1]10.PRECIO DEL VINO DE TRASLADO'!Y511</f>
        <v>51773.708882283579</v>
      </c>
      <c r="I60" s="160">
        <f>+'[1]10.PRECIO DEL VINO DE TRASLADO'!Y523</f>
        <v>70422.135411611554</v>
      </c>
      <c r="J60" s="161">
        <f>+'[1]10.PRECIO DEL VINO DE TRASLADO'!Y535</f>
        <v>41654.731208415651</v>
      </c>
      <c r="K60" s="162">
        <f>+'[1]10.PRECIO DEL VINO DE TRASLADO'!Y547</f>
        <v>29514.20967504588</v>
      </c>
      <c r="L60" s="7">
        <f>+K60/J60-1</f>
        <v>-0.29145600466429078</v>
      </c>
      <c r="M60" s="2"/>
      <c r="N60" s="42" t="s">
        <v>0</v>
      </c>
      <c r="O60" s="160">
        <f>+AVERAGE('[1]10.PRECIO DEL VINO DE TRASLADO'!Y428:Y439)</f>
        <v>29491.526032706461</v>
      </c>
      <c r="P60" s="160">
        <f>+(SUM(C58:C60)+SUM(B61:B69))/12</f>
        <v>49032.699691170907</v>
      </c>
      <c r="Q60" s="160">
        <f t="shared" ref="Q60" si="148">+(SUM(D58:D60)+SUM(C61:C69))/12</f>
        <v>55977.621093831513</v>
      </c>
      <c r="R60" s="160">
        <f>+(SUM(E58:E60)+SUM(D61:D69))/12</f>
        <v>37301.780829322357</v>
      </c>
      <c r="S60" s="160">
        <f>+(SUM(F58:F60)+SUM(E61:E69))/12</f>
        <v>22276.27713485797</v>
      </c>
      <c r="T60" s="160">
        <f>+(SUM(G58:G60)+SUM(F61:F69))/12</f>
        <v>30835.006726631909</v>
      </c>
      <c r="U60" s="160">
        <f>+(SUM(H58:H60)+SUM(G61:G69))/12</f>
        <v>50313.584977411745</v>
      </c>
      <c r="V60" s="160">
        <f t="shared" ref="V60" si="149">+(SUM(I58:I60)+SUM(H61:H69))/12</f>
        <v>50840.408252447814</v>
      </c>
      <c r="W60" s="161">
        <f t="shared" ref="W60" si="150">+(SUM(J58:J60)+SUM(I61:I69))/12</f>
        <v>49593.429753167169</v>
      </c>
      <c r="X60" s="162">
        <f t="shared" ref="X60" si="151">+(SUM(K58:K60)+SUM(J61:J69))/12</f>
        <v>36143.573624490229</v>
      </c>
      <c r="Y60" s="78">
        <f>+X60/W60-1</f>
        <v>-0.27120237893645571</v>
      </c>
      <c r="Z60" s="7">
        <f>+POWER(X60/S60,0.2)-1</f>
        <v>0.10163492442531252</v>
      </c>
    </row>
    <row r="61" spans="1:26" x14ac:dyDescent="0.25">
      <c r="A61" s="42" t="s">
        <v>1</v>
      </c>
      <c r="B61" s="160">
        <f>+'[1]10.PRECIO DEL VINO DE TRASLADO'!Y440</f>
        <v>33637.125698355521</v>
      </c>
      <c r="C61" s="160">
        <f>+'[1]10.PRECIO DEL VINO DE TRASLADO'!Y452</f>
        <v>53953.066862019841</v>
      </c>
      <c r="D61" s="160">
        <f>+'[1]10.PRECIO DEL VINO DE TRASLADO'!Y464</f>
        <v>49556.50541448802</v>
      </c>
      <c r="E61" s="160">
        <f>+'[1]10.PRECIO DEL VINO DE TRASLADO'!Y476</f>
        <v>24015.330574068292</v>
      </c>
      <c r="F61" s="160">
        <f>+'[1]10.PRECIO DEL VINO DE TRASLADO'!Y488</f>
        <v>18118.55608663414</v>
      </c>
      <c r="G61" s="160">
        <f>+'[1]10.PRECIO DEL VINO DE TRASLADO'!Y500</f>
        <v>52706.77220393785</v>
      </c>
      <c r="H61" s="160">
        <f>+'[1]10.PRECIO DEL VINO DE TRASLADO'!Y512</f>
        <v>64450.292451590074</v>
      </c>
      <c r="I61" s="160">
        <f>+'[1]10.PRECIO DEL VINO DE TRASLADO'!Y524</f>
        <v>86296.18004847625</v>
      </c>
      <c r="J61" s="161">
        <f>+'[1]10.PRECIO DEL VINO DE TRASLADO'!Y536</f>
        <v>42226.40105897875</v>
      </c>
      <c r="K61" s="162">
        <f>+'[2]10.PRECIO DEL VINO DE TRASLADO'!$Y$548</f>
        <v>29163.194988101368</v>
      </c>
      <c r="L61" s="7">
        <f>+K61/J61-1</f>
        <v>-0.30936110450501453</v>
      </c>
      <c r="M61" s="2"/>
      <c r="N61" s="42" t="s">
        <v>1</v>
      </c>
      <c r="O61" s="160">
        <f>+AVERAGE('[1]10.PRECIO DEL VINO DE TRASLADO'!Y429:Y440)</f>
        <v>29944.43013134845</v>
      </c>
      <c r="P61" s="160">
        <f>+(SUM(C58:C61)+SUM(B62:B69))/12</f>
        <v>50725.69478814293</v>
      </c>
      <c r="Q61" s="160">
        <f t="shared" ref="Q61" si="152">+(SUM(D58:D61)+SUM(C62:C69))/12</f>
        <v>55611.240973203858</v>
      </c>
      <c r="R61" s="160">
        <f>+(SUM(E58:E61)+SUM(D62:D69))/12</f>
        <v>35173.349592620711</v>
      </c>
      <c r="S61" s="160">
        <f>+(SUM(F58:F61)+SUM(E62:E69))/12</f>
        <v>21784.879260905127</v>
      </c>
      <c r="T61" s="160">
        <f>+(SUM(G58:G61)+SUM(F62:F69))/12</f>
        <v>33717.358069740556</v>
      </c>
      <c r="U61" s="160">
        <f>+(SUM(H58:H61)+SUM(G62:G69))/12</f>
        <v>51292.211664716095</v>
      </c>
      <c r="V61" s="160">
        <f t="shared" ref="V61" si="153">+(SUM(I58:I61)+SUM(H62:H69))/12</f>
        <v>52660.898885521667</v>
      </c>
      <c r="W61" s="161">
        <f t="shared" ref="W61" si="154">+(SUM(J58:J61)+SUM(I62:I69))/12</f>
        <v>45920.948170709045</v>
      </c>
      <c r="X61" s="162">
        <f t="shared" ref="X61" si="155">+(SUM(K58:K61)+SUM(J62:J69))/12</f>
        <v>35054.973118583781</v>
      </c>
      <c r="Y61" s="78">
        <f>+X61/W61-1</f>
        <v>-0.23662349069386579</v>
      </c>
      <c r="Z61" s="7">
        <f>+POWER(X61/S61,0.2)-1</f>
        <v>9.981312005775389E-2</v>
      </c>
    </row>
    <row r="62" spans="1:26" x14ac:dyDescent="0.25">
      <c r="A62" s="42" t="s">
        <v>2</v>
      </c>
      <c r="B62" s="160">
        <f>+'[1]10.PRECIO DEL VINO DE TRASLADO'!Y441</f>
        <v>43634.540732744208</v>
      </c>
      <c r="C62" s="160">
        <f>+'[1]10.PRECIO DEL VINO DE TRASLADO'!Y453</f>
        <v>55055.638451106817</v>
      </c>
      <c r="D62" s="160">
        <f>+'[1]10.PRECIO DEL VINO DE TRASLADO'!Y465</f>
        <v>48114.422406903745</v>
      </c>
      <c r="E62" s="160">
        <f>+'[1]10.PRECIO DEL VINO DE TRASLADO'!Y477</f>
        <v>22661.467892675282</v>
      </c>
      <c r="F62" s="160">
        <f>+'[1]10.PRECIO DEL VINO DE TRASLADO'!Y489</f>
        <v>22489.748792977731</v>
      </c>
      <c r="G62" s="160">
        <f>+'[1]10.PRECIO DEL VINO DE TRASLADO'!Y501</f>
        <v>58949.507647706872</v>
      </c>
      <c r="H62" s="160">
        <f>+'[1]10.PRECIO DEL VINO DE TRASLADO'!Y513</f>
        <v>60185.913795392473</v>
      </c>
      <c r="I62" s="160">
        <f>+'[1]10.PRECIO DEL VINO DE TRASLADO'!Y525</f>
        <v>67158.995670551434</v>
      </c>
      <c r="J62" s="161">
        <f>+'[1]10.PRECIO DEL VINO DE TRASLADO'!Y537</f>
        <v>40388.308813026204</v>
      </c>
      <c r="K62" s="162"/>
      <c r="L62" s="7"/>
      <c r="M62" s="2"/>
      <c r="N62" s="42" t="s">
        <v>2</v>
      </c>
      <c r="O62" s="160">
        <f>+AVERAGE('[1]10.PRECIO DEL VINO DE TRASLADO'!Y430:Y441)</f>
        <v>31141.232622358788</v>
      </c>
      <c r="P62" s="160">
        <f>+(SUM(C58:C62)+SUM(B63:B69))/12</f>
        <v>51677.452931339816</v>
      </c>
      <c r="Q62" s="160">
        <f t="shared" ref="Q62" si="156">+(SUM(D58:D62)+SUM(C63:C69))/12</f>
        <v>55032.806302853605</v>
      </c>
      <c r="R62" s="160">
        <f>+(SUM(E58:E62)+SUM(D63:D69))/12</f>
        <v>33052.270049768333</v>
      </c>
      <c r="S62" s="160">
        <f>+(SUM(F58:F62)+SUM(E63:E69))/12</f>
        <v>21770.56933593033</v>
      </c>
      <c r="T62" s="160">
        <f>+(SUM(G58:G62)+SUM(F63:F69))/12</f>
        <v>36755.671307634642</v>
      </c>
      <c r="U62" s="160">
        <f>+(SUM(H58:H62)+SUM(G63:G69))/12</f>
        <v>51395.245510356581</v>
      </c>
      <c r="V62" s="160">
        <f t="shared" ref="V62" si="157">+(SUM(I58:I62)+SUM(H63:H69))/12</f>
        <v>53241.989041784916</v>
      </c>
      <c r="W62" s="161">
        <f t="shared" ref="W62" si="158">+(SUM(J58:J62)+SUM(I63:I69))/12</f>
        <v>43690.057599248605</v>
      </c>
      <c r="X62" s="162"/>
      <c r="Y62" s="78"/>
      <c r="Z62" s="7"/>
    </row>
    <row r="63" spans="1:26" x14ac:dyDescent="0.25">
      <c r="A63" s="42" t="s">
        <v>3</v>
      </c>
      <c r="B63" s="160">
        <f>+'[1]10.PRECIO DEL VINO DE TRASLADO'!Y442</f>
        <v>46704.984742258675</v>
      </c>
      <c r="C63" s="160">
        <f>+'[1]10.PRECIO DEL VINO DE TRASLADO'!Y454</f>
        <v>69960.134029154156</v>
      </c>
      <c r="D63" s="160">
        <f>+'[1]10.PRECIO DEL VINO DE TRASLADO'!Y466</f>
        <v>50131.704893296584</v>
      </c>
      <c r="E63" s="160">
        <f>+'[1]10.PRECIO DEL VINO DE TRASLADO'!Y478</f>
        <v>23452.631526363704</v>
      </c>
      <c r="F63" s="160">
        <f>+'[1]10.PRECIO DEL VINO DE TRASLADO'!Y490</f>
        <v>24273.498515494088</v>
      </c>
      <c r="G63" s="160">
        <f>+'[1]10.PRECIO DEL VINO DE TRASLADO'!Y502</f>
        <v>58007.847154957373</v>
      </c>
      <c r="H63" s="160">
        <f>+'[1]10.PRECIO DEL VINO DE TRASLADO'!Y514</f>
        <v>49695.426157358692</v>
      </c>
      <c r="I63" s="160">
        <f>+'[1]10.PRECIO DEL VINO DE TRASLADO'!Y526</f>
        <v>53690.814592812261</v>
      </c>
      <c r="J63" s="161">
        <f>+'[1]10.PRECIO DEL VINO DE TRASLADO'!Y538</f>
        <v>47671.761650396118</v>
      </c>
      <c r="K63" s="162"/>
      <c r="L63" s="7"/>
      <c r="M63" s="2"/>
      <c r="N63" s="42" t="s">
        <v>3</v>
      </c>
      <c r="O63" s="160">
        <f>+AVERAGE('[1]10.PRECIO DEL VINO DE TRASLADO'!Y431:Y442)</f>
        <v>32595.99478351526</v>
      </c>
      <c r="P63" s="160">
        <f>+(SUM(C58:C63)+SUM(B64:B69))/12</f>
        <v>53615.382038581105</v>
      </c>
      <c r="Q63" s="160">
        <f t="shared" ref="Q63" si="159">+(SUM(D58:D63)+SUM(C64:C69))/12</f>
        <v>53380.437208198804</v>
      </c>
      <c r="R63" s="160">
        <f>+(SUM(E58:E63)+SUM(D64:D69))/12</f>
        <v>30829.01393585726</v>
      </c>
      <c r="S63" s="160">
        <f>+(SUM(F58:F63)+SUM(E64:E69))/12</f>
        <v>21838.974918357864</v>
      </c>
      <c r="T63" s="160">
        <f>+(SUM(G58:G63)+SUM(F64:F69))/12</f>
        <v>39566.86702758992</v>
      </c>
      <c r="U63" s="160">
        <f>+(SUM(H58:H63)+SUM(G64:G69))/12</f>
        <v>50702.543760556691</v>
      </c>
      <c r="V63" s="160">
        <f t="shared" ref="V63" si="160">+(SUM(I58:I63)+SUM(H64:H69))/12</f>
        <v>53574.938078072708</v>
      </c>
      <c r="W63" s="161">
        <f t="shared" ref="W63" si="161">+(SUM(J58:J63)+SUM(I64:I69))/12</f>
        <v>43188.46985404726</v>
      </c>
      <c r="X63" s="162"/>
      <c r="Y63" s="78"/>
      <c r="Z63" s="7"/>
    </row>
    <row r="64" spans="1:26" x14ac:dyDescent="0.25">
      <c r="A64" s="42" t="s">
        <v>4</v>
      </c>
      <c r="B64" s="160">
        <f>+'[1]10.PRECIO DEL VINO DE TRASLADO'!Y443</f>
        <v>44284.16456964847</v>
      </c>
      <c r="C64" s="160">
        <f>+'[1]10.PRECIO DEL VINO DE TRASLADO'!Y455</f>
        <v>56455.92552705673</v>
      </c>
      <c r="D64" s="160">
        <f>+'[1]10.PRECIO DEL VINO DE TRASLADO'!Y467</f>
        <v>44754.860893733348</v>
      </c>
      <c r="E64" s="160">
        <f>+'[1]10.PRECIO DEL VINO DE TRASLADO'!Y479</f>
        <v>22119.491366578808</v>
      </c>
      <c r="F64" s="160">
        <f>+'[1]10.PRECIO DEL VINO DE TRASLADO'!Y491</f>
        <v>25345.366273313019</v>
      </c>
      <c r="G64" s="160">
        <f>+'[1]10.PRECIO DEL VINO DE TRASLADO'!Y503</f>
        <v>55635.965847429681</v>
      </c>
      <c r="H64" s="160">
        <f>+'[1]10.PRECIO DEL VINO DE TRASLADO'!Y515</f>
        <v>52250.737610332268</v>
      </c>
      <c r="I64" s="160">
        <f>+'[1]10.PRECIO DEL VINO DE TRASLADO'!Y527</f>
        <v>53053.250879819287</v>
      </c>
      <c r="J64" s="161">
        <f>+'[1]10.PRECIO DEL VINO DE TRASLADO'!Y539</f>
        <v>36551.054783065651</v>
      </c>
      <c r="K64" s="162"/>
      <c r="L64" s="7"/>
      <c r="M64" s="2"/>
      <c r="N64" s="42" t="s">
        <v>4</v>
      </c>
      <c r="O64" s="160">
        <f>+AVERAGE('[1]10.PRECIO DEL VINO DE TRASLADO'!Y432:Y443)</f>
        <v>33565.324821024595</v>
      </c>
      <c r="P64" s="160">
        <f>+(SUM(C58:C64)+SUM(B65:B69))/12</f>
        <v>54629.695451698462</v>
      </c>
      <c r="Q64" s="160">
        <f t="shared" ref="Q64" si="162">+(SUM(D58:D64)+SUM(C65:C69))/12</f>
        <v>52405.348488755197</v>
      </c>
      <c r="R64" s="160">
        <f>+(SUM(E58:E64)+SUM(D65:D69))/12</f>
        <v>28942.733141927718</v>
      </c>
      <c r="S64" s="160">
        <f>+(SUM(F58:F64)+SUM(E65:E69))/12</f>
        <v>22107.79782725238</v>
      </c>
      <c r="T64" s="160">
        <f>+(SUM(G58:G64)+SUM(F65:F69))/12</f>
        <v>42091.083658766314</v>
      </c>
      <c r="U64" s="160">
        <f>+(SUM(H58:H64)+SUM(G65:G69))/12</f>
        <v>50420.44140746523</v>
      </c>
      <c r="V64" s="160">
        <f t="shared" ref="V64" si="163">+(SUM(I58:I64)+SUM(H65:H69))/12</f>
        <v>53641.814183863287</v>
      </c>
      <c r="W64" s="161">
        <f t="shared" ref="W64" si="164">+(SUM(J58:J64)+SUM(I65:I69))/12</f>
        <v>41813.286845984461</v>
      </c>
      <c r="X64" s="162"/>
      <c r="Y64" s="78"/>
      <c r="Z64" s="7"/>
    </row>
    <row r="65" spans="1:26" x14ac:dyDescent="0.25">
      <c r="A65" s="42" t="s">
        <v>5</v>
      </c>
      <c r="B65" s="160">
        <f>+'[1]10.PRECIO DEL VINO DE TRASLADO'!Y444</f>
        <v>46932.356164876597</v>
      </c>
      <c r="C65" s="160">
        <f>+'[1]10.PRECIO DEL VINO DE TRASLADO'!Y456</f>
        <v>55996.155128740589</v>
      </c>
      <c r="D65" s="160">
        <f>+'[1]10.PRECIO DEL VINO DE TRASLADO'!Y468</f>
        <v>32349.6508868274</v>
      </c>
      <c r="E65" s="160">
        <f>+'[1]10.PRECIO DEL VINO DE TRASLADO'!Y480</f>
        <v>20672.080341115747</v>
      </c>
      <c r="F65" s="160">
        <f>+'[1]10.PRECIO DEL VINO DE TRASLADO'!Y492</f>
        <v>29256.250374438096</v>
      </c>
      <c r="G65" s="160">
        <f>+'[1]10.PRECIO DEL VINO DE TRASLADO'!Y504</f>
        <v>52894.277961108026</v>
      </c>
      <c r="H65" s="160">
        <f>+'[1]10.PRECIO DEL VINO DE TRASLADO'!Y516</f>
        <v>47534.903983965771</v>
      </c>
      <c r="I65" s="160">
        <f>+'[1]10.PRECIO DEL VINO DE TRASLADO'!Y528</f>
        <v>47336.178174232344</v>
      </c>
      <c r="J65" s="161">
        <f>+'[1]10.PRECIO DEL VINO DE TRASLADO'!Y540</f>
        <v>36953.351048719858</v>
      </c>
      <c r="K65" s="162"/>
      <c r="L65" s="7"/>
      <c r="M65" s="2"/>
      <c r="N65" s="42" t="s">
        <v>5</v>
      </c>
      <c r="O65" s="160">
        <f>+AVERAGE('[1]10.PRECIO DEL VINO DE TRASLADO'!Y433:Y444)</f>
        <v>35020.68425392222</v>
      </c>
      <c r="P65" s="160">
        <f>+(SUM(C58:C65)+SUM(B66:B69))/12</f>
        <v>55385.012032020451</v>
      </c>
      <c r="Q65" s="160">
        <f t="shared" ref="Q65" si="165">+(SUM(D58:D65)+SUM(C66:C69))/12</f>
        <v>50434.806468595758</v>
      </c>
      <c r="R65" s="160">
        <f>+(SUM(E58:E65)+SUM(D66:D69))/12</f>
        <v>27969.602263118413</v>
      </c>
      <c r="S65" s="160">
        <f>+(SUM(F58:F65)+SUM(E66:E69))/12</f>
        <v>22823.145330029238</v>
      </c>
      <c r="T65" s="160">
        <f>+(SUM(G58:G65)+SUM(F66:F69))/12</f>
        <v>44060.919290988801</v>
      </c>
      <c r="U65" s="160">
        <f>+(SUM(H58:H65)+SUM(G66:G69))/12</f>
        <v>49973.826909370044</v>
      </c>
      <c r="V65" s="160">
        <f t="shared" ref="V65" si="166">+(SUM(I58:I65)+SUM(H66:H69))/12</f>
        <v>53625.253699718836</v>
      </c>
      <c r="W65" s="161">
        <f t="shared" ref="W65" si="167">+(SUM(J58:J65)+SUM(I66:I69))/12</f>
        <v>40948.051252191748</v>
      </c>
      <c r="X65" s="162"/>
      <c r="Y65" s="78"/>
      <c r="Z65" s="7"/>
    </row>
    <row r="66" spans="1:26" x14ac:dyDescent="0.25">
      <c r="A66" s="42" t="s">
        <v>6</v>
      </c>
      <c r="B66" s="160">
        <f>+'[1]10.PRECIO DEL VINO DE TRASLADO'!Y445</f>
        <v>46983.23087871835</v>
      </c>
      <c r="C66" s="160">
        <f>+'[1]10.PRECIO DEL VINO DE TRASLADO'!Y457</f>
        <v>64363.461685626331</v>
      </c>
      <c r="D66" s="160">
        <f>+'[1]10.PRECIO DEL VINO DE TRASLADO'!Y469</f>
        <v>32332.762928431319</v>
      </c>
      <c r="E66" s="160">
        <f>+'[1]10.PRECIO DEL VINO DE TRASLADO'!Y481</f>
        <v>20988.095726606214</v>
      </c>
      <c r="F66" s="160">
        <f>+'[1]10.PRECIO DEL VINO DE TRASLADO'!Y493</f>
        <v>28635.54437139284</v>
      </c>
      <c r="G66" s="160">
        <f>+'[1]10.PRECIO DEL VINO DE TRASLADO'!Y505</f>
        <v>47193.681053759115</v>
      </c>
      <c r="H66" s="160">
        <f>+'[1]10.PRECIO DEL VINO DE TRASLADO'!Y517</f>
        <v>44850.158237865915</v>
      </c>
      <c r="I66" s="160">
        <f>+'[1]10.PRECIO DEL VINO DE TRASLADO'!Y529</f>
        <v>47799.217281823869</v>
      </c>
      <c r="J66" s="161">
        <f>+'[1]10.PRECIO DEL VINO DE TRASLADO'!Y541</f>
        <v>31237.626294384634</v>
      </c>
      <c r="K66" s="162"/>
      <c r="L66" s="7"/>
      <c r="M66" s="2"/>
      <c r="N66" s="42" t="s">
        <v>6</v>
      </c>
      <c r="O66" s="160">
        <f>+AVERAGE('[1]10.PRECIO DEL VINO DE TRASLADO'!Y434:Y445)</f>
        <v>36363.014592835993</v>
      </c>
      <c r="P66" s="160">
        <f>+(SUM(C58:C66)+SUM(B67:B69))/12</f>
        <v>56833.364599262793</v>
      </c>
      <c r="Q66" s="160">
        <f t="shared" ref="Q66" si="168">+(SUM(D58:D66)+SUM(C67:C69))/12</f>
        <v>47765.581572162839</v>
      </c>
      <c r="R66" s="160">
        <f>+(SUM(E58:E66)+SUM(D67:D69))/12</f>
        <v>27024.213329632985</v>
      </c>
      <c r="S66" s="160">
        <f>+(SUM(F58:F66)+SUM(E67:E69))/12</f>
        <v>23460.432717094794</v>
      </c>
      <c r="T66" s="160">
        <f>+(SUM(G58:G66)+SUM(F67:F69))/12</f>
        <v>45607.430681185993</v>
      </c>
      <c r="U66" s="160">
        <f>+(SUM(H58:H66)+SUM(G67:G69))/12</f>
        <v>49778.533341378941</v>
      </c>
      <c r="V66" s="160">
        <f t="shared" ref="V66" si="169">+(SUM(I58:I66)+SUM(H67:H69))/12</f>
        <v>53871.008620048669</v>
      </c>
      <c r="W66" s="161">
        <f t="shared" ref="W66" si="170">+(SUM(J58:J66)+SUM(I67:I69))/12</f>
        <v>39567.918669905142</v>
      </c>
      <c r="X66" s="162"/>
      <c r="Y66" s="78"/>
      <c r="Z66" s="7"/>
    </row>
    <row r="67" spans="1:26" x14ac:dyDescent="0.25">
      <c r="A67" s="42" t="s">
        <v>7</v>
      </c>
      <c r="B67" s="160">
        <f>+'[1]10.PRECIO DEL VINO DE TRASLADO'!Y446</f>
        <v>55719.937223532645</v>
      </c>
      <c r="C67" s="160">
        <f>+'[1]10.PRECIO DEL VINO DE TRASLADO'!Y458</f>
        <v>54463.323138005864</v>
      </c>
      <c r="D67" s="160">
        <f>+'[1]10.PRECIO DEL VINO DE TRASLADO'!Y470</f>
        <v>34330.940840207637</v>
      </c>
      <c r="E67" s="160">
        <f>+'[1]10.PRECIO DEL VINO DE TRASLADO'!Y482</f>
        <v>21016.388157072251</v>
      </c>
      <c r="F67" s="160">
        <f>+'[1]10.PRECIO DEL VINO DE TRASLADO'!Y494</f>
        <v>28598.024648856619</v>
      </c>
      <c r="G67" s="160">
        <f>+'[1]10.PRECIO DEL VINO DE TRASLADO'!Y506</f>
        <v>48645.912556640098</v>
      </c>
      <c r="H67" s="160">
        <f>+'[1]10.PRECIO DEL VINO DE TRASLADO'!Y518</f>
        <v>37502.871401440156</v>
      </c>
      <c r="I67" s="160">
        <f>+'[1]10.PRECIO DEL VINO DE TRASLADO'!Y530</f>
        <v>41448.094733318292</v>
      </c>
      <c r="J67" s="161">
        <f>+'[1]10.PRECIO DEL VINO DE TRASLADO'!Y542</f>
        <v>37807.860346879999</v>
      </c>
      <c r="K67" s="162"/>
      <c r="L67" s="7"/>
      <c r="M67" s="2"/>
      <c r="N67" s="42" t="s">
        <v>7</v>
      </c>
      <c r="O67" s="160">
        <f>+AVERAGE('[1]10.PRECIO DEL VINO DE TRASLADO'!Y435:Y446)</f>
        <v>38676.558188429764</v>
      </c>
      <c r="P67" s="160">
        <f>+(SUM(C58:C67)+SUM(B68:B69))/12</f>
        <v>56728.646758802228</v>
      </c>
      <c r="Q67" s="160">
        <f t="shared" ref="Q67" si="171">+(SUM(D58:D67)+SUM(C68:C69))/12</f>
        <v>46087.883047346324</v>
      </c>
      <c r="R67" s="160">
        <f>+(SUM(E58:E67)+SUM(D68:D69))/12</f>
        <v>25914.667272705035</v>
      </c>
      <c r="S67" s="160">
        <f>+(SUM(F58:F67)+SUM(E68:E69))/12</f>
        <v>24092.235758076826</v>
      </c>
      <c r="T67" s="160">
        <f>+(SUM(G58:G67)+SUM(F68:F69))/12</f>
        <v>47278.088006834616</v>
      </c>
      <c r="U67" s="160">
        <f>+(SUM(H58:H67)+SUM(G68:G69))/12</f>
        <v>48849.946578445612</v>
      </c>
      <c r="V67" s="160">
        <f t="shared" ref="V67" si="172">+(SUM(I58:I67)+SUM(H68:H69))/12</f>
        <v>54199.777231038519</v>
      </c>
      <c r="W67" s="161">
        <f t="shared" ref="W67" si="173">+(SUM(J58:J67)+SUM(I68:I69))/12</f>
        <v>39264.56580436862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51976.215389604084</v>
      </c>
      <c r="C68" s="160">
        <f>+'[1]10.PRECIO DEL VINO DE TRASLADO'!Y459</f>
        <v>52997.763796908781</v>
      </c>
      <c r="D68" s="160">
        <f>+'[1]10.PRECIO DEL VINO DE TRASLADO'!Y471</f>
        <v>32727.93974261728</v>
      </c>
      <c r="E68" s="160">
        <f>+'[1]10.PRECIO DEL VINO DE TRASLADO'!Y483</f>
        <v>23679.728582923868</v>
      </c>
      <c r="F68" s="160">
        <f>+'[1]10.PRECIO DEL VINO DE TRASLADO'!Y495</f>
        <v>36666.848209398289</v>
      </c>
      <c r="G68" s="160">
        <f>+'[1]10.PRECIO DEL VINO DE TRASLADO'!Y507</f>
        <v>39792.861169673881</v>
      </c>
      <c r="H68" s="160">
        <f>+'[1]10.PRECIO DEL VINO DE TRASLADO'!Y519</f>
        <v>50171.180938244688</v>
      </c>
      <c r="I68" s="160">
        <f>+'[1]10.PRECIO DEL VINO DE TRASLADO'!Y531</f>
        <v>39255.837750920793</v>
      </c>
      <c r="J68" s="161">
        <f>+'[1]10.PRECIO DEL VINO DE TRASLADO'!Y543</f>
        <v>37328.687369999992</v>
      </c>
      <c r="K68" s="162"/>
      <c r="L68" s="7"/>
      <c r="M68" s="2"/>
      <c r="N68" s="42" t="s">
        <v>8</v>
      </c>
      <c r="O68" s="160">
        <f>+AVERAGE('[1]10.PRECIO DEL VINO DE TRASLADO'!Y436:Y447)</f>
        <v>40895.573478887593</v>
      </c>
      <c r="P68" s="160">
        <f>+(SUM(C58:C68)+SUM(B69))/12</f>
        <v>56813.77579274428</v>
      </c>
      <c r="Q68" s="160">
        <f t="shared" ref="Q68" si="174">+(SUM(D58:D68)+SUM(C69))/12</f>
        <v>44398.731042822037</v>
      </c>
      <c r="R68" s="160">
        <f>+(SUM(E58:E68)+SUM(D69))/12</f>
        <v>25160.649676063917</v>
      </c>
      <c r="S68" s="160">
        <f>+(SUM(F58:F68)+SUM(E69))/12</f>
        <v>25174.495726949692</v>
      </c>
      <c r="T68" s="160">
        <f>+(SUM(G58:G68)+SUM(F69))/12</f>
        <v>47538.589086857588</v>
      </c>
      <c r="U68" s="160">
        <f>+(SUM(H58:H68)+SUM(G69))/12</f>
        <v>49714.80655915985</v>
      </c>
      <c r="V68" s="160">
        <f t="shared" ref="V68" si="175">+(SUM(I58:I68)+SUM(H69))/12</f>
        <v>53290.165298761531</v>
      </c>
      <c r="W68" s="161">
        <f t="shared" ref="W68" si="176">+(SUM(J58:J68)+SUM(I69))/12</f>
        <v>39103.969939291892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52279.353426188587</v>
      </c>
      <c r="C69" s="160">
        <f>+'[1]10.PRECIO DEL VINO DE TRASLADO'!Y460</f>
        <v>52274.545135927576</v>
      </c>
      <c r="D69" s="160">
        <f>+'[1]10.PRECIO DEL VINO DE TRASLADO'!Y472</f>
        <v>34367.35712498978</v>
      </c>
      <c r="E69" s="160">
        <f>+'[1]10.PRECIO DEL VINO DE TRASLADO'!Y484</f>
        <v>20146.4180666717</v>
      </c>
      <c r="F69" s="160">
        <f>+'[1]10.PRECIO DEL VINO DE TRASLADO'!Y496</f>
        <v>32911.008681519314</v>
      </c>
      <c r="G69" s="160">
        <f>+'[1]10.PRECIO DEL VINO DE TRASLADO'!Y508</f>
        <v>38793.41584302616</v>
      </c>
      <c r="H69" s="160">
        <f>+'[1]10.PRECIO DEL VINO DE TRASLADO'!Y520</f>
        <v>42203.912924774777</v>
      </c>
      <c r="I69" s="160">
        <f>+'[1]10.PRECIO DEL VINO DE TRASLADO'!Y532</f>
        <v>39460.549156015906</v>
      </c>
      <c r="J69" s="161">
        <f>+'[2]10.PRECIO DEL VINO DE TRASLADO'!$Y$544</f>
        <v>33518.620000000003</v>
      </c>
      <c r="K69" s="162"/>
      <c r="L69" s="7"/>
      <c r="M69" s="2"/>
      <c r="N69" s="42" t="s">
        <v>9</v>
      </c>
      <c r="O69" s="160">
        <f>+AVERAGE('[1]10.PRECIO DEL VINO DE TRASLADO'!Y437:Y448)</f>
        <v>43036.1319067269</v>
      </c>
      <c r="P69" s="160">
        <f>+(SUM(C58:C69))/12</f>
        <v>56813.3751018892</v>
      </c>
      <c r="Q69" s="160">
        <f t="shared" ref="Q69" si="177">+(SUM(D58:D69))/12</f>
        <v>42906.465375243883</v>
      </c>
      <c r="R69" s="160">
        <f>+(SUM(E58:E69))/12</f>
        <v>23975.571421204077</v>
      </c>
      <c r="S69" s="160">
        <f>+(SUM(F58:F69))/12</f>
        <v>26238.211611520324</v>
      </c>
      <c r="T69" s="160">
        <f>+(SUM(G58:G69))/12</f>
        <v>48028.789683649818</v>
      </c>
      <c r="U69" s="160">
        <f>+(SUM(H58:H69))/12</f>
        <v>49999.014649305573</v>
      </c>
      <c r="V69" s="160">
        <f t="shared" ref="V69" si="178">+(SUM(I58:I69))/12</f>
        <v>53061.551651364949</v>
      </c>
      <c r="W69" s="161">
        <f t="shared" ref="W69" si="179">+(SUM(J58:J69))/12</f>
        <v>38608.809176290561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43036.1319067269</v>
      </c>
      <c r="C70" s="211">
        <f t="shared" ref="C70:I70" si="180">AVERAGE(C58:C69)</f>
        <v>56813.3751018892</v>
      </c>
      <c r="D70" s="211">
        <f t="shared" si="180"/>
        <v>42906.465375243883</v>
      </c>
      <c r="E70" s="211">
        <f t="shared" si="180"/>
        <v>23975.571421204077</v>
      </c>
      <c r="F70" s="211">
        <f t="shared" si="180"/>
        <v>26238.211611520324</v>
      </c>
      <c r="G70" s="211">
        <f t="shared" si="180"/>
        <v>48028.789683649818</v>
      </c>
      <c r="H70" s="211">
        <f t="shared" si="180"/>
        <v>49999.014649305573</v>
      </c>
      <c r="I70" s="211">
        <f t="shared" si="180"/>
        <v>53061.551651364949</v>
      </c>
      <c r="J70" s="212">
        <f t="shared" ref="J70" si="181">AVERAGE(J58:J69)</f>
        <v>38608.809176290561</v>
      </c>
      <c r="K70" s="212"/>
      <c r="L70" s="165"/>
      <c r="M70" s="3"/>
      <c r="N70" s="43" t="s">
        <v>14</v>
      </c>
      <c r="O70" s="163">
        <f t="shared" ref="O70" si="182">+AVERAGE(O58:O69)</f>
        <v>33996.010123108856</v>
      </c>
      <c r="P70" s="163">
        <f>+AVERAGE(P58:P69)</f>
        <v>52941.36161217792</v>
      </c>
      <c r="Q70" s="163">
        <f t="shared" ref="Q70:X70" si="183">+AVERAGE(Q58:Q69)</f>
        <v>51421.420146186436</v>
      </c>
      <c r="R70" s="163">
        <f t="shared" si="183"/>
        <v>31328.341279837245</v>
      </c>
      <c r="S70" s="163">
        <f t="shared" si="183"/>
        <v>23108.148112799379</v>
      </c>
      <c r="T70" s="163">
        <f t="shared" si="183"/>
        <v>39368.599380556312</v>
      </c>
      <c r="U70" s="163">
        <f t="shared" si="183"/>
        <v>50112.615309034743</v>
      </c>
      <c r="V70" s="163">
        <f t="shared" si="183"/>
        <v>52545.646748042978</v>
      </c>
      <c r="W70" s="164">
        <f t="shared" si="183"/>
        <v>43830.048216209434</v>
      </c>
      <c r="X70" s="164">
        <f t="shared" si="183"/>
        <v>36600.864713320443</v>
      </c>
      <c r="Y70" s="79">
        <f>+W70/V70-1</f>
        <v>-0.16586718541356904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184">+C70/B70-1</f>
        <v>0.32013200500969763</v>
      </c>
      <c r="D71" s="50">
        <f t="shared" si="184"/>
        <v>-0.24478231933421735</v>
      </c>
      <c r="E71" s="50">
        <f t="shared" si="184"/>
        <v>-0.44121308498561451</v>
      </c>
      <c r="F71" s="50">
        <f t="shared" si="184"/>
        <v>9.4372732585433328E-2</v>
      </c>
      <c r="G71" s="50">
        <f t="shared" si="184"/>
        <v>0.83049021765500131</v>
      </c>
      <c r="H71" s="50">
        <f t="shared" si="184"/>
        <v>4.1021749218187464E-2</v>
      </c>
      <c r="I71" s="50">
        <f t="shared" ref="I71:J71" si="185">+I70/H70-1</f>
        <v>6.1251947134160378E-2</v>
      </c>
      <c r="J71" s="70">
        <f t="shared" si="185"/>
        <v>-0.27237692877951503</v>
      </c>
      <c r="K71" s="70"/>
      <c r="L71" s="52"/>
      <c r="M71" s="2"/>
      <c r="N71" s="45" t="s">
        <v>12</v>
      </c>
      <c r="O71" s="49"/>
      <c r="P71" s="50">
        <f t="shared" ref="P71:V71" si="186">+P70/O70-1</f>
        <v>0.55728161688570998</v>
      </c>
      <c r="Q71" s="50">
        <f t="shared" si="186"/>
        <v>-2.8709905066775954E-2</v>
      </c>
      <c r="R71" s="50">
        <f t="shared" si="186"/>
        <v>-0.39075309101200217</v>
      </c>
      <c r="S71" s="50">
        <f t="shared" si="186"/>
        <v>-0.26238839438104367</v>
      </c>
      <c r="T71" s="50">
        <f t="shared" si="186"/>
        <v>0.70366743316615787</v>
      </c>
      <c r="U71" s="50">
        <f t="shared" si="186"/>
        <v>0.27290825931147489</v>
      </c>
      <c r="V71" s="50">
        <f t="shared" si="186"/>
        <v>4.8551276440157887E-2</v>
      </c>
      <c r="W71" s="70">
        <f t="shared" ref="W71" si="187">+W70/V70-1</f>
        <v>-0.16586718541356904</v>
      </c>
      <c r="X71" s="70">
        <f t="shared" ref="X71" si="188">+X70/W70-1</f>
        <v>-0.16493669975511138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35" t="s">
        <v>295</v>
      </c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7"/>
      <c r="M73" s="2"/>
      <c r="N73" s="335" t="s">
        <v>287</v>
      </c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7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189">+C74+1</f>
        <v>2018</v>
      </c>
      <c r="E74" s="82">
        <f t="shared" si="189"/>
        <v>2019</v>
      </c>
      <c r="F74" s="82">
        <f t="shared" si="189"/>
        <v>2020</v>
      </c>
      <c r="G74" s="82">
        <f t="shared" si="189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190">+P74+1</f>
        <v>2018</v>
      </c>
      <c r="R74" s="82">
        <f t="shared" si="190"/>
        <v>2019</v>
      </c>
      <c r="S74" s="82">
        <f t="shared" si="190"/>
        <v>2020</v>
      </c>
      <c r="T74" s="82">
        <f t="shared" si="190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36368.776897951968</v>
      </c>
      <c r="C75" s="160">
        <f>+'[2]10.PRECIO DEL VINO DE TRASLADO'!$Z449</f>
        <v>87739.148938989572</v>
      </c>
      <c r="D75" s="160">
        <f>+'[2]10.PRECIO DEL VINO DE TRASLADO'!$Z461</f>
        <v>72616.204367964558</v>
      </c>
      <c r="E75" s="160">
        <f>+'[2]10.PRECIO DEL VINO DE TRASLADO'!$Z473</f>
        <v>41128.232774026241</v>
      </c>
      <c r="F75" s="160">
        <f>+'[2]10.PRECIO DEL VINO DE TRASLADO'!$Z485</f>
        <v>24769.653483266833</v>
      </c>
      <c r="G75" s="160">
        <f>+'[2]10.PRECIO DEL VINO DE TRASLADO'!$Z497</f>
        <v>43652.48604081446</v>
      </c>
      <c r="H75" s="160">
        <f>+'[2]10.PRECIO DEL VINO DE TRASLADO'!$Z509</f>
        <v>54301.267965490173</v>
      </c>
      <c r="I75" s="160">
        <f>+'[2]10.PRECIO DEL VINO DE TRASLADO'!$Z521</f>
        <v>81584.626447458606</v>
      </c>
      <c r="J75" s="160">
        <f>+'[2]10.PRECIO DEL VINO DE TRASLADO'!$Z533</f>
        <v>64828.631350798823</v>
      </c>
      <c r="K75" s="166">
        <f>+'[1]10.PRECIO DEL VINO DE TRASLADO'!$Z545</f>
        <v>43182.56133464181</v>
      </c>
      <c r="L75" s="91">
        <f>+K75/J75-1</f>
        <v>-0.33389676081585651</v>
      </c>
      <c r="M75" s="2"/>
      <c r="N75" s="89" t="s">
        <v>10</v>
      </c>
      <c r="O75" s="166">
        <f>+AVERAGE('[1]10.PRECIO DEL VINO DE TRASLADO'!Z426:Z437)</f>
        <v>35985.691960711112</v>
      </c>
      <c r="P75" s="160">
        <f>+(SUM(C75)+SUM(B76:B86))/12</f>
        <v>64724.392679675417</v>
      </c>
      <c r="Q75" s="160">
        <f t="shared" ref="Q75" si="191">+(SUM(D75)+SUM(C76:C86))/12</f>
        <v>81054.965118713866</v>
      </c>
      <c r="R75" s="160">
        <f t="shared" ref="R75" si="192">+(SUM(E75)+SUM(D76:D86))/12</f>
        <v>52584.745629878213</v>
      </c>
      <c r="S75" s="160">
        <f t="shared" ref="S75" si="193">+(SUM(F75)+SUM(E76:E86))/12</f>
        <v>30298.549912411603</v>
      </c>
      <c r="T75" s="160">
        <f t="shared" ref="T75" si="194">+(SUM(G75)+SUM(F76:F86))/12</f>
        <v>34701.496990043706</v>
      </c>
      <c r="U75" s="160">
        <f t="shared" ref="U75" si="195">+(SUM(H75)+SUM(G76:G86))/12</f>
        <v>56168.778086076491</v>
      </c>
      <c r="V75" s="160">
        <f>+(SUM(I75)+SUM(H76:H86))/12</f>
        <v>68441.480529050023</v>
      </c>
      <c r="W75" s="167">
        <f>+(SUM(J75)+SUM(I76:I86))/12</f>
        <v>75401.167602288595</v>
      </c>
      <c r="X75" s="168">
        <f>+(SUM(K75)+SUM(J76:J86))/12</f>
        <v>53222.767592230375</v>
      </c>
      <c r="Y75" s="117">
        <f>+X75/W75-1</f>
        <v>-0.29413868134032783</v>
      </c>
      <c r="Z75" s="113">
        <f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34587.683908913175</v>
      </c>
      <c r="C76" s="160">
        <f>+'[2]10.PRECIO DEL VINO DE TRASLADO'!$Z450</f>
        <v>86002.574398530356</v>
      </c>
      <c r="D76" s="160">
        <f>+'[2]10.PRECIO DEL VINO DE TRASLADO'!$Z462</f>
        <v>67746.434350960772</v>
      </c>
      <c r="E76" s="160">
        <f>+'[2]10.PRECIO DEL VINO DE TRASLADO'!$Z474</f>
        <v>38335.416257295008</v>
      </c>
      <c r="F76" s="160">
        <f>+'[2]10.PRECIO DEL VINO DE TRASLADO'!$Z486</f>
        <v>26691.533273068791</v>
      </c>
      <c r="G76" s="160">
        <f>+'[2]10.PRECIO DEL VINO DE TRASLADO'!$Z498</f>
        <v>41902.288728669046</v>
      </c>
      <c r="H76" s="160">
        <f>+'[2]10.PRECIO DEL VINO DE TRASLADO'!$Z510</f>
        <v>58015.940866579149</v>
      </c>
      <c r="I76" s="160">
        <f>+'[2]10.PRECIO DEL VINO DE TRASLADO'!$Z522</f>
        <v>91247.754494292312</v>
      </c>
      <c r="J76" s="160">
        <f>+'[2]10.PRECIO DEL VINO DE TRASLADO'!$Z534</f>
        <v>62394.199584379923</v>
      </c>
      <c r="K76" s="166">
        <f>+'[1]10.PRECIO DEL VINO DE TRASLADO'!$Z546</f>
        <v>43867.781679342501</v>
      </c>
      <c r="L76" s="91">
        <f>+K76/J76-1</f>
        <v>-0.29692532364299162</v>
      </c>
      <c r="M76" s="2"/>
      <c r="N76" s="89" t="s">
        <v>11</v>
      </c>
      <c r="O76" s="166">
        <f>+AVERAGE('[1]10.PRECIO DEL VINO DE TRASLADO'!Z427:Z438)</f>
        <v>35839.800288647908</v>
      </c>
      <c r="P76" s="160">
        <f>+(SUM(C75:C76)+SUM(B77:B86))/12</f>
        <v>69008.966887143513</v>
      </c>
      <c r="Q76" s="160">
        <f t="shared" ref="Q76" si="196">+(SUM(D75:D76)+SUM(C77:C86))/12</f>
        <v>79533.620114749749</v>
      </c>
      <c r="R76" s="160">
        <f t="shared" ref="R76" si="197">+(SUM(E75:E76)+SUM(D77:D86))/12</f>
        <v>50133.82745540607</v>
      </c>
      <c r="S76" s="160">
        <f t="shared" ref="S76" si="198">+(SUM(F75:F76)+SUM(E77:E86))/12</f>
        <v>29328.226330392747</v>
      </c>
      <c r="T76" s="160">
        <f t="shared" ref="T76" si="199">+(SUM(G75:G76)+SUM(F77:F86))/12</f>
        <v>35969.059944677058</v>
      </c>
      <c r="U76" s="160">
        <f t="shared" ref="U76" si="200">+(SUM(H75:H76)+SUM(G77:G86))/12</f>
        <v>57511.582430902337</v>
      </c>
      <c r="V76" s="160">
        <f t="shared" ref="V76" si="201">+(SUM(I75:I76)+SUM(H77:H86))/12</f>
        <v>71210.798331359445</v>
      </c>
      <c r="W76" s="167">
        <f t="shared" ref="W76" si="202">+(SUM(J75:J76)+SUM(I77:I86))/12</f>
        <v>72996.704693129243</v>
      </c>
      <c r="X76" s="168">
        <f t="shared" ref="X76" si="203">+(SUM(K75:K76)+SUM(J77:J86))/12</f>
        <v>51678.899433477258</v>
      </c>
      <c r="Y76" s="117">
        <f>+X76/W76-1</f>
        <v>-0.29203791252317324</v>
      </c>
      <c r="Z76" s="113">
        <f>+POWER(X76/S76,0.2)-1</f>
        <v>0.11996768368185817</v>
      </c>
    </row>
    <row r="77" spans="1:26" x14ac:dyDescent="0.25">
      <c r="A77" s="89" t="s">
        <v>0</v>
      </c>
      <c r="B77" s="166">
        <f>+'[2]10.PRECIO DEL VINO DE TRASLADO'!$Z439</f>
        <v>42190.456442581686</v>
      </c>
      <c r="C77" s="160">
        <f>+'[2]10.PRECIO DEL VINO DE TRASLADO'!$Z451</f>
        <v>85889.587549221498</v>
      </c>
      <c r="D77" s="160">
        <f>+'[2]10.PRECIO DEL VINO DE TRASLADO'!$Z463</f>
        <v>59284.344155706865</v>
      </c>
      <c r="E77" s="160">
        <f>+'[2]10.PRECIO DEL VINO DE TRASLADO'!$Z475</f>
        <v>31693.685355294823</v>
      </c>
      <c r="F77" s="160">
        <f>+'[2]10.PRECIO DEL VINO DE TRASLADO'!$Z487</f>
        <v>26478.508527303115</v>
      </c>
      <c r="G77" s="160">
        <f>+'[2]10.PRECIO DEL VINO DE TRASLADO'!$Z499</f>
        <v>54189.635565385193</v>
      </c>
      <c r="H77" s="160">
        <f>+'[2]10.PRECIO DEL VINO DE TRASLADO'!$Z511</f>
        <v>60135.399449144417</v>
      </c>
      <c r="I77" s="160">
        <f>+'[2]10.PRECIO DEL VINO DE TRASLADO'!$Z523</f>
        <v>79239.061432583025</v>
      </c>
      <c r="J77" s="160">
        <f>+'[2]10.PRECIO DEL VINO DE TRASLADO'!$Z535</f>
        <v>64492.077910773682</v>
      </c>
      <c r="K77" s="166">
        <f>+'[1]10.PRECIO DEL VINO DE TRASLADO'!$Z547</f>
        <v>40434.091861076391</v>
      </c>
      <c r="L77" s="91">
        <f>+K77/J77-1</f>
        <v>-0.37303784943915264</v>
      </c>
      <c r="M77" s="2"/>
      <c r="N77" s="89" t="s">
        <v>0</v>
      </c>
      <c r="O77" s="166">
        <f>+AVERAGE('[1]10.PRECIO DEL VINO DE TRASLADO'!Z428:Z439)</f>
        <v>36320.335247563831</v>
      </c>
      <c r="P77" s="160">
        <f>+(SUM(C75:C77)+SUM(B78:B86))/12</f>
        <v>72650.561146030159</v>
      </c>
      <c r="Q77" s="160">
        <f t="shared" ref="Q77" si="204">+(SUM(D75:D77)+SUM(C78:C86))/12</f>
        <v>77316.516498623532</v>
      </c>
      <c r="R77" s="160">
        <f>+(SUM(E75:E77)+SUM(D78:D86))/12</f>
        <v>47834.60588870506</v>
      </c>
      <c r="S77" s="160">
        <f>+(SUM(F75:F77)+SUM(E78:E86))/12</f>
        <v>28893.628261393442</v>
      </c>
      <c r="T77" s="160">
        <f>+(SUM(G75:G77)+SUM(F78:F86))/12</f>
        <v>38278.320531183905</v>
      </c>
      <c r="U77" s="160">
        <f>+(SUM(H75:H77)+SUM(G78:G86))/12</f>
        <v>58007.062754548933</v>
      </c>
      <c r="V77" s="160">
        <f t="shared" ref="V77" si="205">+(SUM(I75:I77)+SUM(H78:H86))/12</f>
        <v>72802.770163312671</v>
      </c>
      <c r="W77" s="167">
        <f t="shared" ref="W77" si="206">+(SUM(J75:J77)+SUM(I78:I86))/12</f>
        <v>71767.789399645117</v>
      </c>
      <c r="X77" s="168">
        <f t="shared" ref="X77" si="207">+(SUM(K75:K77)+SUM(J78:J86))/12</f>
        <v>49674.067262669152</v>
      </c>
      <c r="Y77" s="117">
        <f>+X77/W77-1</f>
        <v>-0.30785011384348449</v>
      </c>
      <c r="Z77" s="113">
        <f>+POWER(X77/S77,0.2)-1</f>
        <v>0.11446267531143284</v>
      </c>
    </row>
    <row r="78" spans="1:26" x14ac:dyDescent="0.25">
      <c r="A78" s="89" t="s">
        <v>1</v>
      </c>
      <c r="B78" s="166">
        <f>+'[2]10.PRECIO DEL VINO DE TRASLADO'!$Z440</f>
        <v>48385.003655021654</v>
      </c>
      <c r="C78" s="160">
        <f>+'[2]10.PRECIO DEL VINO DE TRASLADO'!$Z452</f>
        <v>75599.66142666417</v>
      </c>
      <c r="D78" s="160">
        <f>+'[2]10.PRECIO DEL VINO DE TRASLADO'!$Z464</f>
        <v>62206.378685979762</v>
      </c>
      <c r="E78" s="160">
        <f>+'[2]10.PRECIO DEL VINO DE TRASLADO'!$Z476</f>
        <v>30185.227048366949</v>
      </c>
      <c r="F78" s="160">
        <f>+'[2]10.PRECIO DEL VINO DE TRASLADO'!$Z488</f>
        <v>31299.361921410189</v>
      </c>
      <c r="G78" s="160">
        <f>+'[2]10.PRECIO DEL VINO DE TRASLADO'!$Z500</f>
        <v>63146.984088423604</v>
      </c>
      <c r="H78" s="160">
        <f>+'[2]10.PRECIO DEL VINO DE TRASLADO'!$Z512</f>
        <v>73262.551679711527</v>
      </c>
      <c r="I78" s="160">
        <f>+'[2]10.PRECIO DEL VINO DE TRASLADO'!$Z524</f>
        <v>98824.537777097546</v>
      </c>
      <c r="J78" s="160">
        <f>+'[2]10.PRECIO DEL VINO DE TRASLADO'!$Z536</f>
        <v>59014.794978026432</v>
      </c>
      <c r="K78" s="166">
        <f>+'[2]10.PRECIO DEL VINO DE TRASLADO'!Z548</f>
        <v>39278.286509497499</v>
      </c>
      <c r="L78" s="91">
        <f>+K78/J78-1</f>
        <v>-0.33443322942793619</v>
      </c>
      <c r="M78" s="2"/>
      <c r="N78" s="89" t="s">
        <v>1</v>
      </c>
      <c r="O78" s="166">
        <f>+AVERAGE('[1]10.PRECIO DEL VINO DE TRASLADO'!Z429:Z440)</f>
        <v>37160.97338589486</v>
      </c>
      <c r="P78" s="160">
        <f>+(SUM(C75:C78)+SUM(B79:B86))/12</f>
        <v>74918.449293667029</v>
      </c>
      <c r="Q78" s="160">
        <f t="shared" ref="Q78" si="208">+(SUM(D75:D78)+SUM(C79:C86))/12</f>
        <v>76200.409603566499</v>
      </c>
      <c r="R78" s="160">
        <f>+(SUM(E75:E78)+SUM(D79:D86))/12</f>
        <v>45166.176585570654</v>
      </c>
      <c r="S78" s="160">
        <f>+(SUM(F75:F78)+SUM(E79:E86))/12</f>
        <v>28986.472834147047</v>
      </c>
      <c r="T78" s="160">
        <f>+(SUM(G75:G78)+SUM(F79:F86))/12</f>
        <v>40932.289045101686</v>
      </c>
      <c r="U78" s="160">
        <f>+(SUM(H75:H78)+SUM(G79:G86))/12</f>
        <v>58850.026720489586</v>
      </c>
      <c r="V78" s="160">
        <f t="shared" ref="V78" si="209">+(SUM(I75:I78)+SUM(H79:H86))/12</f>
        <v>74932.93567142816</v>
      </c>
      <c r="W78" s="167">
        <f t="shared" ref="W78" si="210">+(SUM(J75:J78)+SUM(I79:I86))/12</f>
        <v>68450.310833055861</v>
      </c>
      <c r="X78" s="168">
        <f t="shared" ref="X78" si="211">+(SUM(K75:K78)+SUM(J79:J86))/12</f>
        <v>48029.358223625073</v>
      </c>
      <c r="Y78" s="117">
        <f>+X78/W78-1</f>
        <v>-0.2983325036936012</v>
      </c>
      <c r="Z78" s="113">
        <f>+POWER(X78/S78,0.2)-1</f>
        <v>0.10627292167762148</v>
      </c>
    </row>
    <row r="79" spans="1:26" x14ac:dyDescent="0.25">
      <c r="A79" s="89" t="s">
        <v>2</v>
      </c>
      <c r="B79" s="166">
        <f>+'[2]10.PRECIO DEL VINO DE TRASLADO'!$Z441</f>
        <v>54508.63358950839</v>
      </c>
      <c r="C79" s="160">
        <f>+'[2]10.PRECIO DEL VINO DE TRASLADO'!$Z453</f>
        <v>77625.931659864305</v>
      </c>
      <c r="D79" s="160">
        <f>+'[2]10.PRECIO DEL VINO DE TRASLADO'!$Z465</f>
        <v>56299.85260628687</v>
      </c>
      <c r="E79" s="160">
        <f>+'[2]10.PRECIO DEL VINO DE TRASLADO'!$Z477</f>
        <v>26923.512146442201</v>
      </c>
      <c r="F79" s="160">
        <f>+'[2]10.PRECIO DEL VINO DE TRASLADO'!$Z489</f>
        <v>30852.626751284344</v>
      </c>
      <c r="G79" s="160">
        <f>+'[2]10.PRECIO DEL VINO DE TRASLADO'!$Z501</f>
        <v>65573.494071847672</v>
      </c>
      <c r="H79" s="160">
        <f>+'[2]10.PRECIO DEL VINO DE TRASLADO'!$Z513</f>
        <v>63668.221025560815</v>
      </c>
      <c r="I79" s="160">
        <f>+'[2]10.PRECIO DEL VINO DE TRASLADO'!$Z525</f>
        <v>80198.208551723001</v>
      </c>
      <c r="J79" s="160">
        <f>+'[2]10.PRECIO DEL VINO DE TRASLADO'!$Z537</f>
        <v>56654.322803318639</v>
      </c>
      <c r="K79" s="166"/>
      <c r="L79" s="91"/>
      <c r="M79" s="2"/>
      <c r="N79" s="89" t="s">
        <v>2</v>
      </c>
      <c r="O79" s="166">
        <f>+AVERAGE('[1]10.PRECIO DEL VINO DE TRASLADO'!Z430:Z441)</f>
        <v>38795.047587656802</v>
      </c>
      <c r="P79" s="160">
        <f>+(SUM(C75:C79)+SUM(B80:B86))/12</f>
        <v>76844.890799530025</v>
      </c>
      <c r="Q79" s="160">
        <f t="shared" ref="Q79" si="212">+(SUM(D75:D79)+SUM(C80:C86))/12</f>
        <v>74423.236349101702</v>
      </c>
      <c r="R79" s="160">
        <f>+(SUM(E75:E79)+SUM(D80:D86))/12</f>
        <v>42718.148213916931</v>
      </c>
      <c r="S79" s="160">
        <f>+(SUM(F75:F79)+SUM(E80:E86))/12</f>
        <v>29313.899051217228</v>
      </c>
      <c r="T79" s="160">
        <f>+(SUM(G75:G79)+SUM(F80:F86))/12</f>
        <v>43825.694655148633</v>
      </c>
      <c r="U79" s="160">
        <f>+(SUM(H75:H79)+SUM(G80:G86))/12</f>
        <v>58691.253966632357</v>
      </c>
      <c r="V79" s="160">
        <f t="shared" ref="V79" si="213">+(SUM(I75:I79)+SUM(H80:H86))/12</f>
        <v>76310.43463194168</v>
      </c>
      <c r="W79" s="167">
        <f t="shared" ref="W79" si="214">+(SUM(J75:J79)+SUM(I80:I86))/12</f>
        <v>66488.320354022158</v>
      </c>
      <c r="X79" s="168"/>
      <c r="Y79" s="117"/>
      <c r="Z79" s="113"/>
    </row>
    <row r="80" spans="1:26" x14ac:dyDescent="0.25">
      <c r="A80" s="89" t="s">
        <v>3</v>
      </c>
      <c r="B80" s="166">
        <f>+'[2]10.PRECIO DEL VINO DE TRASLADO'!$Z442</f>
        <v>59208.238001728831</v>
      </c>
      <c r="C80" s="160">
        <f>+'[2]10.PRECIO DEL VINO DE TRASLADO'!$Z454</f>
        <v>80839.910921688104</v>
      </c>
      <c r="D80" s="160">
        <f>+'[2]10.PRECIO DEL VINO DE TRASLADO'!$Z466</f>
        <v>59282.734433298603</v>
      </c>
      <c r="E80" s="160">
        <f>+'[2]10.PRECIO DEL VINO DE TRASLADO'!$Z478</f>
        <v>33758.537333618813</v>
      </c>
      <c r="F80" s="160">
        <f>+'[2]10.PRECIO DEL VINO DE TRASLADO'!$Z490</f>
        <v>33311.829599733835</v>
      </c>
      <c r="G80" s="160">
        <f>+'[2]10.PRECIO DEL VINO DE TRASLADO'!$Z502</f>
        <v>59539.155019051963</v>
      </c>
      <c r="H80" s="160">
        <f>+'[2]10.PRECIO DEL VINO DE TRASLADO'!$Z514</f>
        <v>72039.038228314224</v>
      </c>
      <c r="I80" s="160">
        <f>+'[2]10.PRECIO DEL VINO DE TRASLADO'!$Z526</f>
        <v>74365.905953144436</v>
      </c>
      <c r="J80" s="160">
        <f>+'[2]10.PRECIO DEL VINO DE TRASLADO'!$Z538</f>
        <v>57102.322499290742</v>
      </c>
      <c r="K80" s="166"/>
      <c r="L80" s="91"/>
      <c r="M80" s="2"/>
      <c r="N80" s="89" t="s">
        <v>3</v>
      </c>
      <c r="O80" s="166">
        <f>+AVERAGE('[1]10.PRECIO DEL VINO DE TRASLADO'!Z431:Z442)</f>
        <v>40514.085919449557</v>
      </c>
      <c r="P80" s="160">
        <f>+(SUM(C75:C80)+SUM(B81:B86))/12</f>
        <v>78647.530209526638</v>
      </c>
      <c r="Q80" s="160">
        <f t="shared" ref="Q80" si="215">+(SUM(D75:D80)+SUM(C81:C86))/12</f>
        <v>72626.804975069244</v>
      </c>
      <c r="R80" s="160">
        <f>+(SUM(E75:E80)+SUM(D81:D86))/12</f>
        <v>40591.131788943625</v>
      </c>
      <c r="S80" s="160">
        <f>+(SUM(F75:F80)+SUM(E81:E86))/12</f>
        <v>29276.673406726808</v>
      </c>
      <c r="T80" s="160">
        <f>+(SUM(G75:G80)+SUM(F81:F86))/12</f>
        <v>46011.305106758482</v>
      </c>
      <c r="U80" s="160">
        <f>+(SUM(H75:H80)+SUM(G81:G86))/12</f>
        <v>59732.910900737545</v>
      </c>
      <c r="V80" s="160">
        <f t="shared" ref="V80" si="216">+(SUM(I75:I80)+SUM(H81:H86))/12</f>
        <v>76504.340275677532</v>
      </c>
      <c r="W80" s="161">
        <f t="shared" ref="W80" si="217">+(SUM(J75:J80)+SUM(I81:I86))/12</f>
        <v>65049.688399534352</v>
      </c>
      <c r="X80" s="162"/>
      <c r="Y80" s="78"/>
      <c r="Z80" s="7"/>
    </row>
    <row r="81" spans="1:26" x14ac:dyDescent="0.25">
      <c r="A81" s="89" t="s">
        <v>4</v>
      </c>
      <c r="B81" s="166">
        <f>+'[2]10.PRECIO DEL VINO DE TRASLADO'!$Z443</f>
        <v>61327.659591925367</v>
      </c>
      <c r="C81" s="160">
        <f>+'[2]10.PRECIO DEL VINO DE TRASLADO'!$Z455</f>
        <v>76348.432527390527</v>
      </c>
      <c r="D81" s="160">
        <f>+'[2]10.PRECIO DEL VINO DE TRASLADO'!$Z467</f>
        <v>55640.306800373895</v>
      </c>
      <c r="E81" s="160">
        <f>+'[2]10.PRECIO DEL VINO DE TRASLADO'!$Z479</f>
        <v>32284.021065773624</v>
      </c>
      <c r="F81" s="160">
        <f>+'[2]10.PRECIO DEL VINO DE TRASLADO'!$Z491</f>
        <v>32021.229716205518</v>
      </c>
      <c r="G81" s="160">
        <f>+'[2]10.PRECIO DEL VINO DE TRASLADO'!$Z503</f>
        <v>60876.26613182648</v>
      </c>
      <c r="H81" s="160">
        <f>+'[2]10.PRECIO DEL VINO DE TRASLADO'!$Z515</f>
        <v>67806.137418929065</v>
      </c>
      <c r="I81" s="160">
        <f>+'[2]10.PRECIO DEL VINO DE TRASLADO'!$Z527</f>
        <v>80448.518855054121</v>
      </c>
      <c r="J81" s="160">
        <f>+'[2]10.PRECIO DEL VINO DE TRASLADO'!$Z539</f>
        <v>53923.005318697411</v>
      </c>
      <c r="K81" s="166"/>
      <c r="L81" s="91"/>
      <c r="M81" s="2"/>
      <c r="N81" s="89" t="s">
        <v>4</v>
      </c>
      <c r="O81" s="166">
        <f>+AVERAGE('[1]10.PRECIO DEL VINO DE TRASLADO'!Z432:Z443)</f>
        <v>42427.362575172061</v>
      </c>
      <c r="P81" s="160">
        <f>+(SUM(C75:C81)+SUM(B82:B86))/12</f>
        <v>79899.261287482062</v>
      </c>
      <c r="Q81" s="160">
        <f t="shared" ref="Q81" si="218">+(SUM(D75:D81)+SUM(C82:C86))/12</f>
        <v>70901.1278311512</v>
      </c>
      <c r="R81" s="160">
        <f>+(SUM(E75:E81)+SUM(D82:D86))/12</f>
        <v>38644.774644393598</v>
      </c>
      <c r="S81" s="160">
        <f>+(SUM(F75:F81)+SUM(E82:E86))/12</f>
        <v>29254.774127596134</v>
      </c>
      <c r="T81" s="160">
        <f>+(SUM(G75:G81)+SUM(F82:F86))/12</f>
        <v>48415.891474726901</v>
      </c>
      <c r="U81" s="160">
        <f>+(SUM(H75:H81)+SUM(G82:G86))/12</f>
        <v>60310.400174662762</v>
      </c>
      <c r="V81" s="160">
        <f t="shared" ref="V81" si="219">+(SUM(I75:I81)+SUM(H82:H86))/12</f>
        <v>77557.872062021284</v>
      </c>
      <c r="W81" s="167">
        <f t="shared" ref="W81" si="220">+(SUM(J75:J81)+SUM(I82:I86))/12</f>
        <v>62839.228938171291</v>
      </c>
      <c r="X81" s="168"/>
      <c r="Y81" s="117"/>
      <c r="Z81" s="113"/>
    </row>
    <row r="82" spans="1:26" x14ac:dyDescent="0.25">
      <c r="A82" s="89" t="s">
        <v>5</v>
      </c>
      <c r="B82" s="166">
        <f>+'[2]10.PRECIO DEL VINO DE TRASLADO'!$Z444</f>
        <v>62174.744995492903</v>
      </c>
      <c r="C82" s="160">
        <f>+'[2]10.PRECIO DEL VINO DE TRASLADO'!$Z456</f>
        <v>78954.438008738274</v>
      </c>
      <c r="D82" s="160">
        <f>+'[2]10.PRECIO DEL VINO DE TRASLADO'!$Z468</f>
        <v>53284.565453897267</v>
      </c>
      <c r="E82" s="160">
        <f>+'[2]10.PRECIO DEL VINO DE TRASLADO'!$Z480</f>
        <v>31107.957531315915</v>
      </c>
      <c r="F82" s="160">
        <f>+'[2]10.PRECIO DEL VINO DE TRASLADO'!$Z492</f>
        <v>36835.414436072693</v>
      </c>
      <c r="G82" s="160">
        <f>+'[2]10.PRECIO DEL VINO DE TRASLADO'!$Z504</f>
        <v>59139.753876315677</v>
      </c>
      <c r="H82" s="160">
        <f>+'[2]10.PRECIO DEL VINO DE TRASLADO'!$Z516</f>
        <v>70918.795381288932</v>
      </c>
      <c r="I82" s="160">
        <f>+'[2]10.PRECIO DEL VINO DE TRASLADO'!$Z528</f>
        <v>73054.074664788626</v>
      </c>
      <c r="J82" s="160">
        <f>+'[2]10.PRECIO DEL VINO DE TRASLADO'!$Z540</f>
        <v>54002.863981084243</v>
      </c>
      <c r="K82" s="166"/>
      <c r="L82" s="91"/>
      <c r="M82" s="2"/>
      <c r="N82" s="89" t="s">
        <v>5</v>
      </c>
      <c r="O82" s="166">
        <f>+AVERAGE('[1]10.PRECIO DEL VINO DE TRASLADO'!Z433:Z444)</f>
        <v>44749.258487205989</v>
      </c>
      <c r="P82" s="160">
        <f>+(SUM(C75:C82)+SUM(B83:B86))/12</f>
        <v>81297.569038585862</v>
      </c>
      <c r="Q82" s="160">
        <f t="shared" ref="Q82" si="221">+(SUM(D75:D82)+SUM(C83:C86))/12</f>
        <v>68761.971784914451</v>
      </c>
      <c r="R82" s="160">
        <f>+(SUM(E75:E82)+SUM(D83:D86))/12</f>
        <v>36796.723984178483</v>
      </c>
      <c r="S82" s="160">
        <f>+(SUM(F75:F82)+SUM(E83:E86))/12</f>
        <v>29732.062202992533</v>
      </c>
      <c r="T82" s="160">
        <f>+(SUM(G75:G82)+SUM(F83:F86))/12</f>
        <v>50274.586428080474</v>
      </c>
      <c r="U82" s="160">
        <f>+(SUM(H75:H82)+SUM(G83:G86))/12</f>
        <v>61291.986966743869</v>
      </c>
      <c r="V82" s="160">
        <f t="shared" ref="V82" si="222">+(SUM(I75:I82)+SUM(H83:H86))/12</f>
        <v>77735.81200231293</v>
      </c>
      <c r="W82" s="167">
        <f t="shared" ref="W82" si="223">+(SUM(J75:J82)+SUM(I83:I86))/12</f>
        <v>61251.628047862592</v>
      </c>
      <c r="X82" s="168"/>
      <c r="Y82" s="117"/>
      <c r="Z82" s="113"/>
    </row>
    <row r="83" spans="1:26" x14ac:dyDescent="0.25">
      <c r="A83" s="89" t="s">
        <v>6</v>
      </c>
      <c r="B83" s="166">
        <f>+'[2]10.PRECIO DEL VINO DE TRASLADO'!$Z445</f>
        <v>71616.797088044521</v>
      </c>
      <c r="C83" s="160">
        <f>+'[2]10.PRECIO DEL VINO DE TRASLADO'!$Z457</f>
        <v>79214.194862322198</v>
      </c>
      <c r="D83" s="160">
        <f>+'[2]10.PRECIO DEL VINO DE TRASLADO'!$Z469</f>
        <v>46219.203513607834</v>
      </c>
      <c r="E83" s="160">
        <f>+'[2]10.PRECIO DEL VINO DE TRASLADO'!$Z481</f>
        <v>26660.321303333036</v>
      </c>
      <c r="F83" s="160">
        <f>+'[2]10.PRECIO DEL VINO DE TRASLADO'!$Z493</f>
        <v>34857.395388348246</v>
      </c>
      <c r="G83" s="160">
        <f>+'[2]10.PRECIO DEL VINO DE TRASLADO'!$Z505</f>
        <v>55341.815972085271</v>
      </c>
      <c r="H83" s="160">
        <f>+'[2]10.PRECIO DEL VINO DE TRASLADO'!$Z517</f>
        <v>65301.957027902608</v>
      </c>
      <c r="I83" s="160">
        <f>+'[2]10.PRECIO DEL VINO DE TRASLADO'!$Z529</f>
        <v>72134.805128349733</v>
      </c>
      <c r="J83" s="160">
        <f>+'[2]10.PRECIO DEL VINO DE TRASLADO'!$Z541</f>
        <v>49234.633615431674</v>
      </c>
      <c r="K83" s="166"/>
      <c r="L83" s="91"/>
      <c r="M83" s="2"/>
      <c r="N83" s="89" t="s">
        <v>6</v>
      </c>
      <c r="O83" s="166">
        <f>+AVERAGE('[1]10.PRECIO DEL VINO DE TRASLADO'!Z434:Z445)</f>
        <v>47905.359995799423</v>
      </c>
      <c r="P83" s="160">
        <f>+(SUM(C75:C83)+SUM(B84:B86))/12</f>
        <v>81930.685519775652</v>
      </c>
      <c r="Q83" s="160">
        <f t="shared" ref="Q83" si="224">+(SUM(D75:D83)+SUM(C84:C86))/12</f>
        <v>66012.38917252158</v>
      </c>
      <c r="R83" s="160">
        <f>+(SUM(E75:E83)+SUM(D84:D86))/12</f>
        <v>35166.817133322249</v>
      </c>
      <c r="S83" s="160">
        <f>+(SUM(F75:F83)+SUM(E84:E86))/12</f>
        <v>30415.151710077134</v>
      </c>
      <c r="T83" s="160">
        <f>+(SUM(G75:G83)+SUM(F84:F86))/12</f>
        <v>51981.621476725231</v>
      </c>
      <c r="U83" s="160">
        <f>+(SUM(H75:H83)+SUM(G84:G86))/12</f>
        <v>62121.998721395306</v>
      </c>
      <c r="V83" s="160">
        <f t="shared" ref="V83" si="225">+(SUM(I75:I83)+SUM(H84:H86))/12</f>
        <v>78305.216010683522</v>
      </c>
      <c r="W83" s="167">
        <f t="shared" ref="W83" si="226">+(SUM(J75:J83)+SUM(I84:I86))/12</f>
        <v>59343.28042178609</v>
      </c>
      <c r="X83" s="168"/>
      <c r="Y83" s="117"/>
      <c r="Z83" s="113"/>
    </row>
    <row r="84" spans="1:26" x14ac:dyDescent="0.25">
      <c r="A84" s="89" t="s">
        <v>7</v>
      </c>
      <c r="B84" s="166">
        <f>+'[2]10.PRECIO DEL VINO DE TRASLADO'!$Z446</f>
        <v>71966.14933204696</v>
      </c>
      <c r="C84" s="160">
        <f>+'[2]10.PRECIO DEL VINO DE TRASLADO'!$Z458</f>
        <v>91109.569988123636</v>
      </c>
      <c r="D84" s="160">
        <f>+'[2]10.PRECIO DEL VINO DE TRASLADO'!$Z470</f>
        <v>44948.912360689152</v>
      </c>
      <c r="E84" s="160">
        <f>+'[2]10.PRECIO DEL VINO DE TRASLADO'!$Z482</f>
        <v>33009.656015455388</v>
      </c>
      <c r="F84" s="160">
        <f>+'[2]10.PRECIO DEL VINO DE TRASLADO'!$Z494</f>
        <v>38323.120376957435</v>
      </c>
      <c r="G84" s="160">
        <f>+'[2]10.PRECIO DEL VINO DE TRASLADO'!$Z506</f>
        <v>58142.784439427654</v>
      </c>
      <c r="H84" s="160">
        <f>+'[2]10.PRECIO DEL VINO DE TRASLADO'!$Z518</f>
        <v>63152.234967165401</v>
      </c>
      <c r="I84" s="160">
        <f>+'[2]10.PRECIO DEL VINO DE TRASLADO'!$Z530</f>
        <v>63523.271441791396</v>
      </c>
      <c r="J84" s="160">
        <f>+'[2]10.PRECIO DEL VINO DE TRASLADO'!$Z542</f>
        <v>48939.691141119998</v>
      </c>
      <c r="K84" s="166"/>
      <c r="L84" s="91"/>
      <c r="M84" s="2"/>
      <c r="N84" s="89" t="s">
        <v>7</v>
      </c>
      <c r="O84" s="166">
        <f>+AVERAGE('[1]10.PRECIO DEL VINO DE TRASLADO'!Z435:Z446)</f>
        <v>50934.717692457285</v>
      </c>
      <c r="P84" s="160">
        <f>+(SUM(C75:C84)+SUM(B85:B86))/12</f>
        <v>83525.970574448715</v>
      </c>
      <c r="Q84" s="160">
        <f t="shared" ref="Q84" si="227">+(SUM(D75:D84)+SUM(C85:C86))/12</f>
        <v>62165.667703568703</v>
      </c>
      <c r="R84" s="160">
        <f>+(SUM(E75:E84)+SUM(D85:D86))/12</f>
        <v>34171.879104552769</v>
      </c>
      <c r="S84" s="160">
        <f>+(SUM(F75:F84)+SUM(E85:E86))/12</f>
        <v>30857.940406868976</v>
      </c>
      <c r="T84" s="160">
        <f>+(SUM(G75:G84)+SUM(F85:F86))/12</f>
        <v>53633.260148597743</v>
      </c>
      <c r="U84" s="160">
        <f>+(SUM(H75:H84)+SUM(G85:G86))/12</f>
        <v>62539.45293204012</v>
      </c>
      <c r="V84" s="160">
        <f t="shared" ref="V84" si="228">+(SUM(I75:I84)+SUM(H85:H86))/12</f>
        <v>78336.135716902369</v>
      </c>
      <c r="W84" s="167">
        <f t="shared" ref="W84" si="229">+(SUM(J75:J84)+SUM(I85:I86))/12</f>
        <v>58127.982063396812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89400.998159755938</v>
      </c>
      <c r="C85" s="160">
        <f>+'[2]10.PRECIO DEL VINO DE TRASLADO'!$Z459</f>
        <v>92754.507347998166</v>
      </c>
      <c r="D85" s="160">
        <f>+'[2]10.PRECIO DEL VINO DE TRASLADO'!$Z471</f>
        <v>45409.687790729993</v>
      </c>
      <c r="E85" s="160">
        <f>+'[2]10.PRECIO DEL VINO DE TRASLADO'!$Z483</f>
        <v>29645.477970568074</v>
      </c>
      <c r="F85" s="160">
        <f>+'[2]10.PRECIO DEL VINO DE TRASLADO'!$Z495</f>
        <v>40468.700367175174</v>
      </c>
      <c r="G85" s="160">
        <f>+'[2]10.PRECIO DEL VINO DE TRASLADO'!$Z507</f>
        <v>54870.068518496191</v>
      </c>
      <c r="H85" s="160">
        <f>+'[2]10.PRECIO DEL VINO DE TRASLADO'!$Z519</f>
        <v>65286.372083398339</v>
      </c>
      <c r="I85" s="160">
        <f>+'[2]10.PRECIO DEL VINO DE TRASLADO'!$Z531</f>
        <v>63901.112424769504</v>
      </c>
      <c r="J85" s="160">
        <f>+'[2]10.PRECIO DEL VINO DE TRASLADO'!$Z543</f>
        <v>44958.177940000001</v>
      </c>
      <c r="K85" s="166"/>
      <c r="L85" s="91"/>
      <c r="M85" s="2"/>
      <c r="N85" s="89" t="s">
        <v>8</v>
      </c>
      <c r="O85" s="166">
        <f>+AVERAGE('[1]10.PRECIO DEL VINO DE TRASLADO'!Z436:Z447)</f>
        <v>55492.577426442709</v>
      </c>
      <c r="P85" s="160">
        <f>+(SUM(C75:C85)+SUM(B86))/12</f>
        <v>83805.429673468898</v>
      </c>
      <c r="Q85" s="160">
        <f t="shared" ref="Q85" si="230">+(SUM(D75:D85)+SUM(C86))/12</f>
        <v>58220.266073796352</v>
      </c>
      <c r="R85" s="160">
        <f>+(SUM(E75:E85)+SUM(D86))/12</f>
        <v>32858.194952872611</v>
      </c>
      <c r="S85" s="160">
        <f>+(SUM(F75:F85)+SUM(E86))/12</f>
        <v>31759.875606586236</v>
      </c>
      <c r="T85" s="160">
        <f>+(SUM(G75:G85)+SUM(F86))/12</f>
        <v>54833.374161207837</v>
      </c>
      <c r="U85" s="160">
        <f>+(SUM(H75:H85)+SUM(G86))/12</f>
        <v>63407.47822911531</v>
      </c>
      <c r="V85" s="160">
        <f t="shared" ref="V85" si="231">+(SUM(I75:I85)+SUM(H86))/12</f>
        <v>78220.697412016627</v>
      </c>
      <c r="W85" s="167">
        <f t="shared" ref="W85" si="232">+(SUM(J75:J85)+SUM(I86))/12</f>
        <v>56549.404189666013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93587.198452095894</v>
      </c>
      <c r="C86" s="160">
        <f>+'[2]10.PRECIO DEL VINO DE TRASLADO'!$Z460</f>
        <v>75704.568366060776</v>
      </c>
      <c r="D86" s="160">
        <f>+'[2]10.PRECIO DEL VINO DE TRASLADO'!$Z472</f>
        <v>39566.294632981298</v>
      </c>
      <c r="E86" s="160">
        <f>+'[2]10.PRECIO DEL VINO DE TRASLADO'!$Z484</f>
        <v>25209.133438208577</v>
      </c>
      <c r="F86" s="160">
        <f>+'[2]10.PRECIO DEL VINO DE TRASLADO'!$Z496</f>
        <v>41625.757482150701</v>
      </c>
      <c r="G86" s="160">
        <f>+'[2]10.PRECIO DEL VINO DE TRASLADO'!$Z508</f>
        <v>47001.822655898934</v>
      </c>
      <c r="H86" s="160">
        <f>+'[1]10.PRECIO DEL VINO DE TRASLADO'!$Z520</f>
        <v>80126.491773147121</v>
      </c>
      <c r="I86" s="160">
        <f>+'[2]10.PRECIO DEL VINO DE TRASLADO'!$Z532</f>
        <v>63048.129153070659</v>
      </c>
      <c r="J86" s="160">
        <f>+'[2]10.PRECIO DEL VINO DE TRASLADO'!$Z$544</f>
        <v>44774.559999999998</v>
      </c>
      <c r="K86" s="166"/>
      <c r="L86" s="91"/>
      <c r="M86" s="2"/>
      <c r="N86" s="89" t="s">
        <v>9</v>
      </c>
      <c r="O86" s="166">
        <f>+AVERAGE('[1]10.PRECIO DEL VINO DE TRASLADO'!Z437:Z448)</f>
        <v>60443.528342922276</v>
      </c>
      <c r="P86" s="160">
        <f>+(SUM(C75:C86))/12</f>
        <v>82315.210499632638</v>
      </c>
      <c r="Q86" s="160">
        <f t="shared" ref="Q86" si="233">+(SUM(D75:D86))/12</f>
        <v>55208.743262706404</v>
      </c>
      <c r="R86" s="160">
        <f>+(SUM(E75:E86))/12</f>
        <v>31661.764853308221</v>
      </c>
      <c r="S86" s="160">
        <f>+(SUM(F75:F86))/12</f>
        <v>33127.927610248073</v>
      </c>
      <c r="T86" s="160">
        <f>+(SUM(G75:G86))/12</f>
        <v>55281.379592353529</v>
      </c>
      <c r="U86" s="160">
        <f>+(SUM(H75:H86))/12</f>
        <v>66167.867322219317</v>
      </c>
      <c r="V86" s="160">
        <f t="shared" ref="V86" si="234">+(SUM(I75:I86))/12</f>
        <v>76797.500527010256</v>
      </c>
      <c r="W86" s="167">
        <f t="shared" ref="W86" si="235">+(SUM(J75:J86))/12</f>
        <v>55026.606760243456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60443.528342922276</v>
      </c>
      <c r="C87" s="170">
        <f t="shared" ref="C87:H87" si="236">AVERAGE(C75:C86)</f>
        <v>82315.210499632638</v>
      </c>
      <c r="D87" s="170">
        <f t="shared" si="236"/>
        <v>55208.743262706404</v>
      </c>
      <c r="E87" s="170">
        <f t="shared" si="236"/>
        <v>31661.764853308221</v>
      </c>
      <c r="F87" s="170">
        <f t="shared" si="236"/>
        <v>33127.927610248073</v>
      </c>
      <c r="G87" s="170">
        <f t="shared" si="236"/>
        <v>55281.379592353529</v>
      </c>
      <c r="H87" s="170">
        <f t="shared" si="236"/>
        <v>66167.867322219317</v>
      </c>
      <c r="I87" s="170">
        <f t="shared" ref="I87:J87" si="237">AVERAGE(I75:I86)</f>
        <v>76797.500527010256</v>
      </c>
      <c r="J87" s="170">
        <f t="shared" si="237"/>
        <v>55026.606760243456</v>
      </c>
      <c r="K87" s="169"/>
      <c r="L87" s="174"/>
      <c r="M87" s="3"/>
      <c r="N87" s="92" t="s">
        <v>14</v>
      </c>
      <c r="O87" s="169">
        <f t="shared" ref="O87" si="238">+AVERAGE(O75:O86)</f>
        <v>43880.728242493649</v>
      </c>
      <c r="P87" s="170">
        <f>+AVERAGE(P75:P86)</f>
        <v>77464.076467413877</v>
      </c>
      <c r="Q87" s="170">
        <f t="shared" ref="Q87:X87" si="239">+AVERAGE(Q75:Q86)</f>
        <v>70202.143207373607</v>
      </c>
      <c r="R87" s="170">
        <f t="shared" si="239"/>
        <v>40694.065852920707</v>
      </c>
      <c r="S87" s="170">
        <f t="shared" si="239"/>
        <v>30103.765121721499</v>
      </c>
      <c r="T87" s="170">
        <f t="shared" si="239"/>
        <v>46178.189962883764</v>
      </c>
      <c r="U87" s="170">
        <f t="shared" si="239"/>
        <v>60400.066600463666</v>
      </c>
      <c r="V87" s="170">
        <f t="shared" si="239"/>
        <v>75596.332777809715</v>
      </c>
      <c r="W87" s="171">
        <f t="shared" si="239"/>
        <v>64441.009308566798</v>
      </c>
      <c r="X87" s="172">
        <f t="shared" si="239"/>
        <v>50651.273128000466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240">+C87/B87-1</f>
        <v>0.36185316701935144</v>
      </c>
      <c r="D88" s="85">
        <f t="shared" si="240"/>
        <v>-0.32930083118778153</v>
      </c>
      <c r="E88" s="85">
        <f t="shared" si="240"/>
        <v>-0.42650814015728933</v>
      </c>
      <c r="F88" s="85">
        <f t="shared" si="240"/>
        <v>4.6307044592514446E-2</v>
      </c>
      <c r="G88" s="85">
        <f t="shared" si="240"/>
        <v>0.66872435374594086</v>
      </c>
      <c r="H88" s="85">
        <f t="shared" si="240"/>
        <v>0.19692865500360268</v>
      </c>
      <c r="I88" s="85">
        <f t="shared" si="240"/>
        <v>0.16064645325543814</v>
      </c>
      <c r="J88" s="85">
        <f t="shared" si="240"/>
        <v>-0.28348440531745966</v>
      </c>
      <c r="K88" s="198"/>
      <c r="L88" s="101"/>
      <c r="M88" s="2"/>
      <c r="N88" s="98" t="s">
        <v>12</v>
      </c>
      <c r="O88" s="110"/>
      <c r="P88" s="85">
        <f t="shared" ref="P88:V88" si="241">+P87/O87-1</f>
        <v>0.76533251771328747</v>
      </c>
      <c r="Q88" s="85">
        <f t="shared" si="241"/>
        <v>-9.3745818593668817E-2</v>
      </c>
      <c r="R88" s="85">
        <f t="shared" si="241"/>
        <v>-0.42033014956947279</v>
      </c>
      <c r="S88" s="85">
        <f t="shared" si="241"/>
        <v>-0.26024189299431033</v>
      </c>
      <c r="T88" s="85">
        <f t="shared" si="241"/>
        <v>0.53396725546346024</v>
      </c>
      <c r="U88" s="85">
        <f t="shared" si="241"/>
        <v>0.30797821761768684</v>
      </c>
      <c r="V88" s="85">
        <f t="shared" si="241"/>
        <v>0.2515935334619217</v>
      </c>
      <c r="W88" s="111">
        <f t="shared" ref="W88" si="242">+W87/V87-1</f>
        <v>-0.1475643468318798</v>
      </c>
      <c r="X88" s="100">
        <f t="shared" ref="X88" si="243">+X87/W87-1</f>
        <v>-0.21399007136179538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35" t="s">
        <v>296</v>
      </c>
      <c r="B90" s="336"/>
      <c r="C90" s="336"/>
      <c r="D90" s="336"/>
      <c r="E90" s="336"/>
      <c r="F90" s="336"/>
      <c r="G90" s="336"/>
      <c r="H90" s="336"/>
      <c r="I90" s="336"/>
      <c r="J90" s="336"/>
      <c r="K90" s="336"/>
      <c r="L90" s="337"/>
      <c r="M90" s="2"/>
      <c r="N90" s="335" t="s">
        <v>286</v>
      </c>
      <c r="O90" s="336"/>
      <c r="P90" s="336"/>
      <c r="Q90" s="336"/>
      <c r="R90" s="336"/>
      <c r="S90" s="336"/>
      <c r="T90" s="336"/>
      <c r="U90" s="336"/>
      <c r="V90" s="336"/>
      <c r="W90" s="336"/>
      <c r="X90" s="336"/>
      <c r="Y90" s="336"/>
      <c r="Z90" s="337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44">+C91+1</f>
        <v>2018</v>
      </c>
      <c r="E91" s="82">
        <f t="shared" si="244"/>
        <v>2019</v>
      </c>
      <c r="F91" s="82">
        <f t="shared" si="244"/>
        <v>2020</v>
      </c>
      <c r="G91" s="82">
        <f t="shared" si="244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45">+P91+1</f>
        <v>2018</v>
      </c>
      <c r="R91" s="82">
        <f t="shared" si="245"/>
        <v>2019</v>
      </c>
      <c r="S91" s="82">
        <f t="shared" si="245"/>
        <v>2020</v>
      </c>
      <c r="T91" s="82">
        <f t="shared" ref="T91" si="246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20433.763372126952</v>
      </c>
      <c r="C92" s="160">
        <f>+'[1]10.PRECIO DEL VINO DE TRASLADO'!AA449</f>
        <v>49624.940324727242</v>
      </c>
      <c r="D92" s="160">
        <f>+'[1]10.PRECIO DEL VINO DE TRASLADO'!AA461</f>
        <v>49625.293070675492</v>
      </c>
      <c r="E92" s="160">
        <f>+'[1]10.PRECIO DEL VINO DE TRASLADO'!AA473</f>
        <v>21578.542654510387</v>
      </c>
      <c r="F92" s="160">
        <f>+'[1]10.PRECIO DEL VINO DE TRASLADO'!AA485</f>
        <v>17773.662331952411</v>
      </c>
      <c r="G92" s="160">
        <f>+'[1]10.PRECIO DEL VINO DE TRASLADO'!AA497</f>
        <v>42187.539869531676</v>
      </c>
      <c r="H92" s="160">
        <f>+'[1]10.PRECIO DEL VINO DE TRASLADO'!AA509</f>
        <v>52962.874199643418</v>
      </c>
      <c r="I92" s="160">
        <f>+'[1]10.PRECIO DEL VINO DE TRASLADO'!AA521</f>
        <v>49725.880660125571</v>
      </c>
      <c r="J92" s="160">
        <f>+'[1]10.PRECIO DEL VINO DE TRASLADO'!AA533</f>
        <v>34388.98513413778</v>
      </c>
      <c r="K92" s="166">
        <f>+'[1]10.PRECIO DEL VINO DE TRASLADO'!$AA545</f>
        <v>32344.131501472031</v>
      </c>
      <c r="L92" s="91">
        <f>+K92/J92-1</f>
        <v>-5.9462459409301727E-2</v>
      </c>
      <c r="M92" s="2"/>
      <c r="N92" s="89" t="s">
        <v>10</v>
      </c>
      <c r="O92" s="166">
        <f>+AVERAGE('[1]10.PRECIO DEL VINO DE TRASLADO'!AA426:AA437)</f>
        <v>22945.602975128586</v>
      </c>
      <c r="P92" s="160">
        <f>+(SUM(C92)+SUM(B93:B103))/12</f>
        <v>37608.713093439343</v>
      </c>
      <c r="Q92" s="160">
        <f t="shared" ref="Q92" si="247">+(SUM(D92)+SUM(C93:C103))/12</f>
        <v>44699.129714346782</v>
      </c>
      <c r="R92" s="160">
        <f t="shared" ref="R92" si="248">+(SUM(E92)+SUM(D93:D103))/12</f>
        <v>38763.533194398144</v>
      </c>
      <c r="S92" s="160">
        <f t="shared" ref="S92" si="249">+(SUM(F92)+SUM(E93:E103))/12</f>
        <v>20785.06280633152</v>
      </c>
      <c r="T92" s="160">
        <f t="shared" ref="T92" si="250">+(SUM(G92)+SUM(F93:F103))/12</f>
        <v>31058.618991596861</v>
      </c>
      <c r="U92" s="160">
        <f t="shared" ref="U92" si="251">+(SUM(H92)+SUM(G93:G103))/12</f>
        <v>46811.378492208307</v>
      </c>
      <c r="V92" s="160">
        <f>+(SUM(I92)+SUM(H93:H103))/12</f>
        <v>59186.52085397768</v>
      </c>
      <c r="W92" s="167">
        <f>+(SUM(J92)+SUM(I93:I103))/12</f>
        <v>55338.953052884965</v>
      </c>
      <c r="X92" s="168">
        <f>+(SUM(K92)+SUM(J93:J103))/12</f>
        <v>41875.314430238133</v>
      </c>
      <c r="Y92" s="117">
        <f>+X92/W92-1</f>
        <v>-0.24329406105280371</v>
      </c>
      <c r="Z92" s="113">
        <f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23610.4509697873</v>
      </c>
      <c r="C93" s="160">
        <f>+'[1]10.PRECIO DEL VINO DE TRASLADO'!AA450</f>
        <v>28047.550513030299</v>
      </c>
      <c r="D93" s="160">
        <f>+'[1]10.PRECIO DEL VINO DE TRASLADO'!AA462</f>
        <v>44353.729157206348</v>
      </c>
      <c r="E93" s="160">
        <f>+'[1]10.PRECIO DEL VINO DE TRASLADO'!AA474</f>
        <v>18468.905216883853</v>
      </c>
      <c r="F93" s="160">
        <f>+'[1]10.PRECIO DEL VINO DE TRASLADO'!AA486</f>
        <v>17876.74387625571</v>
      </c>
      <c r="G93" s="160">
        <f>+'[1]10.PRECIO DEL VINO DE TRASLADO'!AA498</f>
        <v>38749.069526577878</v>
      </c>
      <c r="H93" s="160">
        <f>+'[1]10.PRECIO DEL VINO DE TRASLADO'!AA510</f>
        <v>59410.650413318013</v>
      </c>
      <c r="I93" s="160">
        <f>+'[1]10.PRECIO DEL VINO DE TRASLADO'!AA522</f>
        <v>53555.879129812965</v>
      </c>
      <c r="J93" s="160">
        <f>+'[1]10.PRECIO DEL VINO DE TRASLADO'!AA534</f>
        <v>51271.147534925192</v>
      </c>
      <c r="K93" s="166">
        <f>+'[1]10.PRECIO DEL VINO DE TRASLADO'!$AA546</f>
        <v>34952.523153827286</v>
      </c>
      <c r="L93" s="91">
        <f>+K93/J93-1</f>
        <v>-0.31828084928237443</v>
      </c>
      <c r="M93" s="2"/>
      <c r="N93" s="89" t="s">
        <v>11</v>
      </c>
      <c r="O93" s="166">
        <f>+AVERAGE('[1]10.PRECIO DEL VINO DE TRASLADO'!AA427:AA438)</f>
        <v>22756.227087179188</v>
      </c>
      <c r="P93" s="160">
        <f>+(SUM(C92:C93)+SUM(B94:B103))/12</f>
        <v>37978.471388709579</v>
      </c>
      <c r="Q93" s="160">
        <f t="shared" ref="Q93" si="252">+(SUM(D92:D93)+SUM(C94:C103))/12</f>
        <v>46057.977934694791</v>
      </c>
      <c r="R93" s="160">
        <f t="shared" ref="R93" si="253">+(SUM(E92:E93)+SUM(D94:D103))/12</f>
        <v>36606.464532704602</v>
      </c>
      <c r="S93" s="160">
        <f t="shared" ref="S93" si="254">+(SUM(F92:F93)+SUM(E94:E103))/12</f>
        <v>20735.71602794584</v>
      </c>
      <c r="T93" s="160">
        <f t="shared" ref="T93" si="255">+(SUM(G92:G93)+SUM(F94:F103))/12</f>
        <v>32797.979462457042</v>
      </c>
      <c r="U93" s="160">
        <f t="shared" ref="U93" si="256">+(SUM(H92:H93)+SUM(G94:G103))/12</f>
        <v>48533.17689943665</v>
      </c>
      <c r="V93" s="160">
        <f t="shared" ref="V93" si="257">+(SUM(I92:I93)+SUM(H94:H103))/12</f>
        <v>58698.623247018935</v>
      </c>
      <c r="W93" s="167">
        <f t="shared" ref="W93" si="258">+(SUM(J92:J93)+SUM(I94:I103))/12</f>
        <v>55148.558753310987</v>
      </c>
      <c r="X93" s="168">
        <f t="shared" ref="X93" si="259">+(SUM(K92:K93)+SUM(J94:J103))/12</f>
        <v>40515.429065146636</v>
      </c>
      <c r="Y93" s="117">
        <f>+X93/W93-1</f>
        <v>-0.26534020142975745</v>
      </c>
      <c r="Z93" s="113">
        <f>+POWER(X93/S93,0.2)-1</f>
        <v>0.14335285663712516</v>
      </c>
    </row>
    <row r="94" spans="1:26" x14ac:dyDescent="0.25">
      <c r="A94" s="89" t="s">
        <v>0</v>
      </c>
      <c r="B94" s="166">
        <f>+'[1]10.PRECIO DEL VINO DE TRASLADO'!AA439</f>
        <v>22960.606622409254</v>
      </c>
      <c r="C94" s="160">
        <f>+'[1]10.PRECIO DEL VINO DE TRASLADO'!AA451</f>
        <v>37908.134128023783</v>
      </c>
      <c r="D94" s="160">
        <f>+'[1]10.PRECIO DEL VINO DE TRASLADO'!AA463</f>
        <v>45680.867039233133</v>
      </c>
      <c r="E94" s="160">
        <f>+'[1]10.PRECIO DEL VINO DE TRASLADO'!AA475</f>
        <v>19214.237397228622</v>
      </c>
      <c r="F94" s="160">
        <f>+'[1]10.PRECIO DEL VINO DE TRASLADO'!AA487</f>
        <v>22012.876212904488</v>
      </c>
      <c r="G94" s="160">
        <f>+'[1]10.PRECIO DEL VINO DE TRASLADO'!AA499</f>
        <v>39613.425644434748</v>
      </c>
      <c r="H94" s="160">
        <f>+'[1]10.PRECIO DEL VINO DE TRASLADO'!AA511</f>
        <v>60877.895437760933</v>
      </c>
      <c r="I94" s="160">
        <f>+'[1]10.PRECIO DEL VINO DE TRASLADO'!AA523</f>
        <v>60049.117234252721</v>
      </c>
      <c r="J94" s="160">
        <f>+'[1]10.PRECIO DEL VINO DE TRASLADO'!AA535</f>
        <v>62520.546722605744</v>
      </c>
      <c r="K94" s="166">
        <f>+'[1]10.PRECIO DEL VINO DE TRASLADO'!$AA547</f>
        <v>26373.461621311766</v>
      </c>
      <c r="L94" s="91">
        <f>+K94/J94-1</f>
        <v>-0.57816329184824877</v>
      </c>
      <c r="M94" s="2"/>
      <c r="N94" s="89" t="s">
        <v>0</v>
      </c>
      <c r="O94" s="166">
        <f>+AVERAGE('[1]10.PRECIO DEL VINO DE TRASLADO'!AA428:AA439)</f>
        <v>22743.896721014684</v>
      </c>
      <c r="P94" s="160">
        <f>+(SUM(C92:C94)+SUM(B95:B103))/12</f>
        <v>39224.098680844123</v>
      </c>
      <c r="Q94" s="160">
        <f t="shared" ref="Q94" si="260">+(SUM(D92:D94)+SUM(C95:C103))/12</f>
        <v>46705.705677295569</v>
      </c>
      <c r="R94" s="160">
        <f>+(SUM(E92:E94)+SUM(D95:D103))/12</f>
        <v>34400.912062537565</v>
      </c>
      <c r="S94" s="160">
        <f>+(SUM(F92:F94)+SUM(E95:E103))/12</f>
        <v>20968.935929252166</v>
      </c>
      <c r="T94" s="160">
        <f>+(SUM(G92:G94)+SUM(F95:F103))/12</f>
        <v>34264.691915084572</v>
      </c>
      <c r="U94" s="160">
        <f>+(SUM(H92:H94)+SUM(G95:G103))/12</f>
        <v>50305.216048880502</v>
      </c>
      <c r="V94" s="160">
        <f t="shared" ref="V94" si="261">+(SUM(I92:I94)+SUM(H95:H103))/12</f>
        <v>58629.558396726577</v>
      </c>
      <c r="W94" s="167">
        <f t="shared" ref="W94" si="262">+(SUM(J92:J94)+SUM(I95:I103))/12</f>
        <v>55354.511210673743</v>
      </c>
      <c r="X94" s="168">
        <f t="shared" ref="X94" si="263">+(SUM(K92:K94)+SUM(J95:J103))/12</f>
        <v>37503.171973372147</v>
      </c>
      <c r="Y94" s="117">
        <f>+X94/W94-1</f>
        <v>-0.32249113661867923</v>
      </c>
      <c r="Z94" s="113">
        <f>+POWER(X94/S94,0.2)-1</f>
        <v>0.12330662882120458</v>
      </c>
    </row>
    <row r="95" spans="1:26" x14ac:dyDescent="0.25">
      <c r="A95" s="89" t="s">
        <v>1</v>
      </c>
      <c r="B95" s="166">
        <f>+'[1]10.PRECIO DEL VINO DE TRASLADO'!AA440</f>
        <v>21413.890476020872</v>
      </c>
      <c r="C95" s="160">
        <f>+'[1]10.PRECIO DEL VINO DE TRASLADO'!AA452</f>
        <v>44635.417480112963</v>
      </c>
      <c r="D95" s="160">
        <f>+'[1]10.PRECIO DEL VINO DE TRASLADO'!AA464</f>
        <v>44792.267429120999</v>
      </c>
      <c r="E95" s="160">
        <f>+'[1]10.PRECIO DEL VINO DE TRASLADO'!AA476</f>
        <v>24367.533820688834</v>
      </c>
      <c r="F95" s="160">
        <f>+'[1]10.PRECIO DEL VINO DE TRASLADO'!AA488</f>
        <v>34085.352559545005</v>
      </c>
      <c r="G95" s="160">
        <f>+'[1]10.PRECIO DEL VINO DE TRASLADO'!AA500</f>
        <v>61146.054490095172</v>
      </c>
      <c r="H95" s="160">
        <f>+'[1]10.PRECIO DEL VINO DE TRASLADO'!AA512</f>
        <v>79418.892262849869</v>
      </c>
      <c r="I95" s="160">
        <f>+'[1]10.PRECIO DEL VINO DE TRASLADO'!AA524</f>
        <v>70581.980390884462</v>
      </c>
      <c r="J95" s="160">
        <f>+'[1]10.PRECIO DEL VINO DE TRASLADO'!AA536</f>
        <v>60143.108350535309</v>
      </c>
      <c r="K95" s="166">
        <f>+'[2]10.PRECIO DEL VINO DE TRASLADO'!AA548</f>
        <v>27217.442921106744</v>
      </c>
      <c r="L95" s="91">
        <f>+K95/J95-1</f>
        <v>-0.5474553333280705</v>
      </c>
      <c r="M95" s="2"/>
      <c r="N95" s="89" t="s">
        <v>1</v>
      </c>
      <c r="O95" s="166">
        <f>+AVERAGE('[1]10.PRECIO DEL VINO DE TRASLADO'!AA429:AA440)</f>
        <v>22744.734642790685</v>
      </c>
      <c r="P95" s="160">
        <f>+(SUM(C92:C95)+SUM(B96:B103))/12</f>
        <v>41159.22593118513</v>
      </c>
      <c r="Q95" s="160">
        <f t="shared" ref="Q95" si="264">+(SUM(D92:D95)+SUM(C96:C103))/12</f>
        <v>46718.776506379574</v>
      </c>
      <c r="R95" s="160">
        <f>+(SUM(E92:E95)+SUM(D96:D103))/12</f>
        <v>32698.850928501557</v>
      </c>
      <c r="S95" s="160">
        <f>+(SUM(F92:F95)+SUM(E96:E103))/12</f>
        <v>21778.754157490181</v>
      </c>
      <c r="T95" s="160">
        <f>+(SUM(G92:G95)+SUM(F96:F103))/12</f>
        <v>36519.750409297085</v>
      </c>
      <c r="U95" s="160">
        <f>+(SUM(H92:H95)+SUM(G96:G103))/12</f>
        <v>51827.952529943381</v>
      </c>
      <c r="V95" s="160">
        <f t="shared" ref="V95" si="265">+(SUM(I92:I95)+SUM(H96:H103))/12</f>
        <v>57893.149074062785</v>
      </c>
      <c r="W95" s="167">
        <f t="shared" ref="W95" si="266">+(SUM(J92:J95)+SUM(I96:I103))/12</f>
        <v>54484.60520731131</v>
      </c>
      <c r="X95" s="168">
        <f t="shared" ref="X95" si="267">+(SUM(K92:K95)+SUM(J96:J103))/12</f>
        <v>34759.366520919757</v>
      </c>
      <c r="Y95" s="117">
        <f>+X95/W95-1</f>
        <v>-0.36203324978382367</v>
      </c>
      <c r="Z95" s="113">
        <f>+POWER(X95/S95,0.2)-1</f>
        <v>9.80137131774792E-2</v>
      </c>
    </row>
    <row r="96" spans="1:26" x14ac:dyDescent="0.25">
      <c r="A96" s="89" t="s">
        <v>2</v>
      </c>
      <c r="B96" s="166">
        <f>+'[1]10.PRECIO DEL VINO DE TRASLADO'!AA441</f>
        <v>37887.034614448319</v>
      </c>
      <c r="C96" s="160">
        <f>+'[1]10.PRECIO DEL VINO DE TRASLADO'!AA453</f>
        <v>30919.810710729558</v>
      </c>
      <c r="D96" s="160">
        <f>+'[1]10.PRECIO DEL VINO DE TRASLADO'!AA465</f>
        <v>39242.956087190345</v>
      </c>
      <c r="E96" s="160">
        <f>+'[1]10.PRECIO DEL VINO DE TRASLADO'!AA477</f>
        <v>23091.735960918715</v>
      </c>
      <c r="F96" s="160">
        <f>+'[1]10.PRECIO DEL VINO DE TRASLADO'!AA489</f>
        <v>32798.957037667817</v>
      </c>
      <c r="G96" s="160">
        <f>+'[1]10.PRECIO DEL VINO DE TRASLADO'!AA501</f>
        <v>47437.124715894024</v>
      </c>
      <c r="H96" s="160">
        <f>+'[1]10.PRECIO DEL VINO DE TRASLADO'!AA513</f>
        <v>75210.091854456667</v>
      </c>
      <c r="I96" s="160">
        <f>+'[1]10.PRECIO DEL VINO DE TRASLADO'!AA525</f>
        <v>81090.710366782572</v>
      </c>
      <c r="J96" s="160">
        <f>+'[1]10.PRECIO DEL VINO DE TRASLADO'!AA537</f>
        <v>36728.807642862019</v>
      </c>
      <c r="K96" s="166"/>
      <c r="L96" s="91"/>
      <c r="M96" s="2"/>
      <c r="N96" s="89" t="s">
        <v>2</v>
      </c>
      <c r="O96" s="166">
        <f>+AVERAGE('[1]10.PRECIO DEL VINO DE TRASLADO'!AA430:AA441)</f>
        <v>23796.335624356285</v>
      </c>
      <c r="P96" s="160">
        <f>+(SUM(C92:C96)+SUM(B97:B103))/12</f>
        <v>40578.623939208563</v>
      </c>
      <c r="Q96" s="160">
        <f t="shared" ref="Q96" si="268">+(SUM(D92:D96)+SUM(C97:C103))/12</f>
        <v>47412.371954417969</v>
      </c>
      <c r="R96" s="160">
        <f>+(SUM(E92:E96)+SUM(D97:D103))/12</f>
        <v>31352.915917978924</v>
      </c>
      <c r="S96" s="160">
        <f>+(SUM(F92:F96)+SUM(E97:E103))/12</f>
        <v>22587.68924721927</v>
      </c>
      <c r="T96" s="160">
        <f>+(SUM(G92:G96)+SUM(F97:F103))/12</f>
        <v>37739.597715815929</v>
      </c>
      <c r="U96" s="160">
        <f>+(SUM(H92:H96)+SUM(G97:G103))/12</f>
        <v>54142.366458156939</v>
      </c>
      <c r="V96" s="160">
        <f t="shared" ref="V96" si="269">+(SUM(I92:I96)+SUM(H97:H103))/12</f>
        <v>58383.200616756607</v>
      </c>
      <c r="W96" s="167">
        <f t="shared" ref="W96" si="270">+(SUM(J92:J96)+SUM(I97:I103))/12</f>
        <v>50787.77998031793</v>
      </c>
      <c r="X96" s="168"/>
      <c r="Y96" s="117"/>
      <c r="Z96" s="113"/>
    </row>
    <row r="97" spans="1:26" x14ac:dyDescent="0.25">
      <c r="A97" s="89" t="s">
        <v>3</v>
      </c>
      <c r="B97" s="166">
        <f>+'[1]10.PRECIO DEL VINO DE TRASLADO'!AA442</f>
        <v>53258.194509233406</v>
      </c>
      <c r="C97" s="160">
        <f>+'[1]10.PRECIO DEL VINO DE TRASLADO'!AA454</f>
        <v>53250.511343837221</v>
      </c>
      <c r="D97" s="160">
        <f>+'[1]10.PRECIO DEL VINO DE TRASLADO'!AA466</f>
        <v>63667.953031973375</v>
      </c>
      <c r="E97" s="160">
        <f>+'[1]10.PRECIO DEL VINO DE TRASLADO'!AA478</f>
        <v>23914.858745616035</v>
      </c>
      <c r="F97" s="160">
        <f>+'[1]10.PRECIO DEL VINO DE TRASLADO'!AA490</f>
        <v>29749.617661794935</v>
      </c>
      <c r="G97" s="160">
        <f>+'[1]10.PRECIO DEL VINO DE TRASLADO'!AA502</f>
        <v>51367.973865172884</v>
      </c>
      <c r="H97" s="160">
        <f>+'[1]10.PRECIO DEL VINO DE TRASLADO'!AA514</f>
        <v>57536.276320012752</v>
      </c>
      <c r="I97" s="160">
        <f>+'[1]10.PRECIO DEL VINO DE TRASLADO'!AA526</f>
        <v>60393.718447331972</v>
      </c>
      <c r="J97" s="160">
        <f>+'[1]10.PRECIO DEL VINO DE TRASLADO'!AA538</f>
        <v>35666.607562635028</v>
      </c>
      <c r="K97" s="166"/>
      <c r="L97" s="91"/>
      <c r="M97" s="2"/>
      <c r="N97" s="89" t="s">
        <v>3</v>
      </c>
      <c r="O97" s="166">
        <f>+AVERAGE('[1]10.PRECIO DEL VINO DE TRASLADO'!AA431:AA442)</f>
        <v>25462.185903041562</v>
      </c>
      <c r="P97" s="160">
        <f>+(SUM(C92:C97)+SUM(B98:B103))/12</f>
        <v>40577.983675425552</v>
      </c>
      <c r="Q97" s="160">
        <f t="shared" ref="Q97" si="271">+(SUM(D92:D97)+SUM(C98:C103))/12</f>
        <v>48280.492095095979</v>
      </c>
      <c r="R97" s="160">
        <f>+(SUM(E92:E97)+SUM(D98:D103))/12</f>
        <v>28040.158060782473</v>
      </c>
      <c r="S97" s="160">
        <f>+(SUM(F92:F97)+SUM(E98:E103))/12</f>
        <v>23073.919156900851</v>
      </c>
      <c r="T97" s="160">
        <f>+(SUM(G92:G97)+SUM(F98:F103))/12</f>
        <v>39541.127399430763</v>
      </c>
      <c r="U97" s="160">
        <f>+(SUM(H92:H97)+SUM(G98:G103))/12</f>
        <v>54656.391662726935</v>
      </c>
      <c r="V97" s="160">
        <f t="shared" ref="V97" si="272">+(SUM(I92:I97)+SUM(H98:H103))/12</f>
        <v>58621.320794033214</v>
      </c>
      <c r="W97" s="161">
        <f t="shared" ref="W97" si="273">+(SUM(J92:J97)+SUM(I98:I103))/12</f>
        <v>48727.187406593177</v>
      </c>
      <c r="X97" s="162"/>
      <c r="Y97" s="78"/>
      <c r="Z97" s="7"/>
    </row>
    <row r="98" spans="1:26" x14ac:dyDescent="0.25">
      <c r="A98" s="89" t="s">
        <v>4</v>
      </c>
      <c r="B98" s="166">
        <f>+'[1]10.PRECIO DEL VINO DE TRASLADO'!AA443</f>
        <v>46597.164667599514</v>
      </c>
      <c r="C98" s="160">
        <f>+'[1]10.PRECIO DEL VINO DE TRASLADO'!AA455</f>
        <v>47793.499924597811</v>
      </c>
      <c r="D98" s="160">
        <f>+'[1]10.PRECIO DEL VINO DE TRASLADO'!AA467</f>
        <v>34343.234533165822</v>
      </c>
      <c r="E98" s="160">
        <f>+'[1]10.PRECIO DEL VINO DE TRASLADO'!AA479</f>
        <v>22051.86655281753</v>
      </c>
      <c r="F98" s="160">
        <f>+'[1]10.PRECIO DEL VINO DE TRASLADO'!AA491</f>
        <v>29508.301147695282</v>
      </c>
      <c r="G98" s="160">
        <f>+'[1]10.PRECIO DEL VINO DE TRASLADO'!AA503</f>
        <v>54344.648791199244</v>
      </c>
      <c r="H98" s="160">
        <f>+'[1]10.PRECIO DEL VINO DE TRASLADO'!AA515</f>
        <v>60649.11652759264</v>
      </c>
      <c r="I98" s="160">
        <f>+'[1]10.PRECIO DEL VINO DE TRASLADO'!AA527</f>
        <v>61224.823129724668</v>
      </c>
      <c r="J98" s="160">
        <f>+'[1]10.PRECIO DEL VINO DE TRASLADO'!AA539</f>
        <v>45483.086839141528</v>
      </c>
      <c r="K98" s="166"/>
      <c r="L98" s="91"/>
      <c r="M98" s="2"/>
      <c r="N98" s="89" t="s">
        <v>4</v>
      </c>
      <c r="O98" s="166">
        <f>+AVERAGE('[1]10.PRECIO DEL VINO DE TRASLADO'!AA432:AA443)</f>
        <v>27482.254883400834</v>
      </c>
      <c r="P98" s="160">
        <f>+(SUM(C92:C98)+SUM(B99:B103))/12</f>
        <v>40677.678280175409</v>
      </c>
      <c r="Q98" s="160">
        <f t="shared" ref="Q98" si="274">+(SUM(D92:D98)+SUM(C99:C103))/12</f>
        <v>47159.636645809987</v>
      </c>
      <c r="R98" s="160">
        <f>+(SUM(E92:E98)+SUM(D99:D103))/12</f>
        <v>27015.877395753447</v>
      </c>
      <c r="S98" s="160">
        <f>+(SUM(F92:F98)+SUM(E99:E103))/12</f>
        <v>23695.288706473992</v>
      </c>
      <c r="T98" s="160">
        <f>+(SUM(G92:G98)+SUM(F99:F103))/12</f>
        <v>41610.823036389425</v>
      </c>
      <c r="U98" s="160">
        <f>+(SUM(H92:H98)+SUM(G99:G103))/12</f>
        <v>55181.763974093054</v>
      </c>
      <c r="V98" s="160">
        <f t="shared" ref="V98" si="275">+(SUM(I92:I98)+SUM(H99:H103))/12</f>
        <v>58669.296344210881</v>
      </c>
      <c r="W98" s="167">
        <f t="shared" ref="W98" si="276">+(SUM(J92:J98)+SUM(I99:I103))/12</f>
        <v>47415.376049044578</v>
      </c>
      <c r="X98" s="168"/>
      <c r="Y98" s="117"/>
      <c r="Z98" s="113"/>
    </row>
    <row r="99" spans="1:26" x14ac:dyDescent="0.25">
      <c r="A99" s="89" t="s">
        <v>5</v>
      </c>
      <c r="B99" s="166">
        <f>+'[1]10.PRECIO DEL VINO DE TRASLADO'!AA444</f>
        <v>36480.938439262005</v>
      </c>
      <c r="C99" s="160">
        <f>+'[1]10.PRECIO DEL VINO DE TRASLADO'!AA456</f>
        <v>57122.577065430545</v>
      </c>
      <c r="D99" s="160">
        <f>+'[1]10.PRECIO DEL VINO DE TRASLADO'!AA468</f>
        <v>44220.076768224091</v>
      </c>
      <c r="E99" s="160">
        <f>+'[1]10.PRECIO DEL VINO DE TRASLADO'!AA480</f>
        <v>21156.643639600094</v>
      </c>
      <c r="F99" s="160">
        <f>+'[1]10.PRECIO DEL VINO DE TRASLADO'!AA492</f>
        <v>32079.833784035283</v>
      </c>
      <c r="G99" s="160">
        <f>+'[1]10.PRECIO DEL VINO DE TRASLADO'!AA504</f>
        <v>50120.668770041077</v>
      </c>
      <c r="H99" s="160">
        <f>+'[1]10.PRECIO DEL VINO DE TRASLADO'!AA516</f>
        <v>47748.795719606889</v>
      </c>
      <c r="I99" s="160">
        <f>+'[1]10.PRECIO DEL VINO DE TRASLADO'!AA528</f>
        <v>53541.1472484103</v>
      </c>
      <c r="J99" s="160">
        <f>+'[1]10.PRECIO DEL VINO DE TRASLADO'!AA540</f>
        <v>38394.151337312403</v>
      </c>
      <c r="K99" s="166"/>
      <c r="L99" s="91"/>
      <c r="M99" s="2"/>
      <c r="N99" s="89" t="s">
        <v>5</v>
      </c>
      <c r="O99" s="166">
        <f>+AVERAGE('[1]10.PRECIO DEL VINO DE TRASLADO'!AA433:AA444)</f>
        <v>28726.886555543664</v>
      </c>
      <c r="P99" s="160">
        <f>+(SUM(C92:C99)+SUM(B100:B103))/12</f>
        <v>42397.814832356125</v>
      </c>
      <c r="Q99" s="160">
        <f t="shared" ref="Q99" si="277">+(SUM(D92:D99)+SUM(C100:C103))/12</f>
        <v>46084.428287709445</v>
      </c>
      <c r="R99" s="160">
        <f>+(SUM(E92:E99)+SUM(D100:D103))/12</f>
        <v>25093.924635034782</v>
      </c>
      <c r="S99" s="160">
        <f>+(SUM(F92:F99)+SUM(E100:E103))/12</f>
        <v>24605.554551843594</v>
      </c>
      <c r="T99" s="160">
        <f>+(SUM(G92:G99)+SUM(F100:F103))/12</f>
        <v>43114.225951889908</v>
      </c>
      <c r="U99" s="160">
        <f>+(SUM(H92:H99)+SUM(G100:G103))/12</f>
        <v>54984.107886556863</v>
      </c>
      <c r="V99" s="160">
        <f t="shared" ref="V99" si="278">+(SUM(I92:I99)+SUM(H100:H103))/12</f>
        <v>59151.992304944491</v>
      </c>
      <c r="W99" s="167">
        <f t="shared" ref="W99" si="279">+(SUM(J92:J99)+SUM(I100:I103))/12</f>
        <v>46153.126389786426</v>
      </c>
      <c r="X99" s="168"/>
      <c r="Y99" s="117"/>
      <c r="Z99" s="113"/>
    </row>
    <row r="100" spans="1:26" x14ac:dyDescent="0.25">
      <c r="A100" s="89" t="s">
        <v>6</v>
      </c>
      <c r="B100" s="166">
        <f>+'[1]10.PRECIO DEL VINO DE TRASLADO'!AA445</f>
        <v>29608.102363436279</v>
      </c>
      <c r="C100" s="160">
        <f>+'[1]10.PRECIO DEL VINO DE TRASLADO'!AA457</f>
        <v>45835.464071707509</v>
      </c>
      <c r="D100" s="160">
        <f>+'[1]10.PRECIO DEL VINO DE TRASLADO'!AA469</f>
        <v>37574.888605358625</v>
      </c>
      <c r="E100" s="160">
        <f>+'[1]10.PRECIO DEL VINO DE TRASLADO'!AA481</f>
        <v>20428.088532044796</v>
      </c>
      <c r="F100" s="160">
        <f>+'[1]10.PRECIO DEL VINO DE TRASLADO'!AA493</f>
        <v>29145.006772603581</v>
      </c>
      <c r="G100" s="160">
        <f>+'[1]10.PRECIO DEL VINO DE TRASLADO'!AA505</f>
        <v>46934.15781089096</v>
      </c>
      <c r="H100" s="160">
        <f>+'[1]10.PRECIO DEL VINO DE TRASLADO'!AA517</f>
        <v>53115.94178627892</v>
      </c>
      <c r="I100" s="160">
        <f>+'[1]10.PRECIO DEL VINO DE TRASLADO'!AA529</f>
        <v>48918.147538943813</v>
      </c>
      <c r="J100" s="160">
        <f>+'[1]10.PRECIO DEL VINO DE TRASLADO'!AA541</f>
        <v>33465.570356408309</v>
      </c>
      <c r="K100" s="166"/>
      <c r="L100" s="91"/>
      <c r="M100" s="2"/>
      <c r="N100" s="89" t="s">
        <v>6</v>
      </c>
      <c r="O100" s="166">
        <f>+AVERAGE('[1]10.PRECIO DEL VINO DE TRASLADO'!AA434:AA445)</f>
        <v>29708.270735948365</v>
      </c>
      <c r="P100" s="160">
        <f>+(SUM(C92:C100)+SUM(B101:B103))/12</f>
        <v>43750.094974712061</v>
      </c>
      <c r="Q100" s="160">
        <f t="shared" ref="Q100" si="280">+(SUM(D92:D100)+SUM(C101:C103))/12</f>
        <v>45396.046998847043</v>
      </c>
      <c r="R100" s="160">
        <f>+(SUM(E92:E100)+SUM(D101:D103))/12</f>
        <v>23665.024628925297</v>
      </c>
      <c r="S100" s="160">
        <f>+(SUM(F92:F100)+SUM(E101:E103))/12</f>
        <v>25331.964405223491</v>
      </c>
      <c r="T100" s="160">
        <f>+(SUM(G92:G100)+SUM(F101:F103))/12</f>
        <v>44596.655205080526</v>
      </c>
      <c r="U100" s="160">
        <f>+(SUM(H92:H100)+SUM(G101:G103))/12</f>
        <v>55499.256551172526</v>
      </c>
      <c r="V100" s="160">
        <f t="shared" ref="V100" si="281">+(SUM(I92:I100)+SUM(H101:H103))/12</f>
        <v>58802.176117666568</v>
      </c>
      <c r="W100" s="167">
        <f t="shared" ref="W100" si="282">+(SUM(J92:J100)+SUM(I101:I103))/12</f>
        <v>44865.411624575128</v>
      </c>
      <c r="X100" s="168"/>
      <c r="Y100" s="117"/>
      <c r="Z100" s="113"/>
    </row>
    <row r="101" spans="1:26" x14ac:dyDescent="0.25">
      <c r="A101" s="89" t="s">
        <v>7</v>
      </c>
      <c r="B101" s="166">
        <f>+'[1]10.PRECIO DEL VINO DE TRASLADO'!AA446</f>
        <v>32568.081353819856</v>
      </c>
      <c r="C101" s="160">
        <f>+'[1]10.PRECIO DEL VINO DE TRASLADO'!AA458</f>
        <v>44671.062971429012</v>
      </c>
      <c r="D101" s="160">
        <f>+'[1]10.PRECIO DEL VINO DE TRASLADO'!AA470</f>
        <v>33542.581653996975</v>
      </c>
      <c r="E101" s="160">
        <f>+'[1]10.PRECIO DEL VINO DE TRASLADO'!AA482</f>
        <v>19310.127060164901</v>
      </c>
      <c r="F101" s="160">
        <f>+'[1]10.PRECIO DEL VINO DE TRASLADO'!AA494</f>
        <v>33122.008355268212</v>
      </c>
      <c r="G101" s="160">
        <f>+'[1]10.PRECIO DEL VINO DE TRASLADO'!AA506</f>
        <v>35405.68499412942</v>
      </c>
      <c r="H101" s="160">
        <f>+'[1]10.PRECIO DEL VINO DE TRASLADO'!AA518</f>
        <v>57689.835167967656</v>
      </c>
      <c r="I101" s="160">
        <f>+'[1]10.PRECIO DEL VINO DE TRASLADO'!AA530</f>
        <v>42743.092973388288</v>
      </c>
      <c r="J101" s="160">
        <f>+'[1]10.PRECIO DEL VINO DE TRASLADO'!AA542</f>
        <v>37788.625704959995</v>
      </c>
      <c r="K101" s="166"/>
      <c r="L101" s="91"/>
      <c r="M101" s="2"/>
      <c r="N101" s="89" t="s">
        <v>7</v>
      </c>
      <c r="O101" s="166">
        <f>+AVERAGE('[1]10.PRECIO DEL VINO DE TRASLADO'!AA435:AA446)</f>
        <v>30421.102502390215</v>
      </c>
      <c r="P101" s="160">
        <f>+(SUM(C92:C101)+SUM(B102:B103))/12</f>
        <v>44758.676776179491</v>
      </c>
      <c r="Q101" s="160">
        <f t="shared" ref="Q101" si="283">+(SUM(D92:D101)+SUM(C102:C103))/12</f>
        <v>44468.673555727699</v>
      </c>
      <c r="R101" s="160">
        <f>+(SUM(E92:E101)+SUM(D102:D103))/12</f>
        <v>22478.986746105958</v>
      </c>
      <c r="S101" s="160">
        <f>+(SUM(F92:F101)+SUM(E102:E103))/12</f>
        <v>26482.954513148768</v>
      </c>
      <c r="T101" s="160">
        <f>+(SUM(G92:G101)+SUM(F102:F103))/12</f>
        <v>44786.961591652296</v>
      </c>
      <c r="U101" s="160">
        <f>+(SUM(H92:H101)+SUM(G102:G103))/12</f>
        <v>57356.269065659057</v>
      </c>
      <c r="V101" s="160">
        <f t="shared" ref="V101" si="284">+(SUM(I92:I101)+SUM(H102:H103))/12</f>
        <v>57556.614268118283</v>
      </c>
      <c r="W101" s="167">
        <f t="shared" ref="W101" si="285">+(SUM(J92:J101)+SUM(I102:I103))/12</f>
        <v>44452.539352206113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46204.697218201334</v>
      </c>
      <c r="C102" s="160">
        <f>+'[1]10.PRECIO DEL VINO DE TRASLADO'!AA459</f>
        <v>49443.920751421065</v>
      </c>
      <c r="D102" s="160">
        <f>+'[1]10.PRECIO DEL VINO DE TRASLADO'!AA471</f>
        <v>31525.777458904042</v>
      </c>
      <c r="E102" s="160">
        <f>+'[1]10.PRECIO DEL VINO DE TRASLADO'!AA483</f>
        <v>19553.28309019062</v>
      </c>
      <c r="F102" s="160">
        <f>+'[1]10.PRECIO DEL VINO DE TRASLADO'!AA495</f>
        <v>33983.721895508643</v>
      </c>
      <c r="G102" s="160">
        <f>+'[1]10.PRECIO DEL VINO DE TRASLADO'!AA507</f>
        <v>42087.470220234623</v>
      </c>
      <c r="H102" s="160">
        <f>+'[1]10.PRECIO DEL VINO DE TRASLADO'!AA519</f>
        <v>53235.336128081413</v>
      </c>
      <c r="I102" s="160">
        <f>+'[1]10.PRECIO DEL VINO DE TRASLADO'!AA531</f>
        <v>46474.611267303568</v>
      </c>
      <c r="J102" s="160">
        <f>+'[1]10.PRECIO DEL VINO DE TRASLADO'!AA543</f>
        <v>38198.679609999999</v>
      </c>
      <c r="K102" s="166"/>
      <c r="L102" s="91"/>
      <c r="M102" s="2"/>
      <c r="N102" s="89" t="s">
        <v>8</v>
      </c>
      <c r="O102" s="166">
        <f>+AVERAGE('[1]10.PRECIO DEL VINO DE TRASLADO'!AA436:AA447)</f>
        <v>32513.162368658497</v>
      </c>
      <c r="P102" s="160">
        <f>+(SUM(C92:C102)+SUM(B103))/12</f>
        <v>45028.612070614465</v>
      </c>
      <c r="Q102" s="160">
        <f t="shared" ref="Q102" si="286">+(SUM(D92:D102)+SUM(C103))/12</f>
        <v>42975.494948017942</v>
      </c>
      <c r="R102" s="160">
        <f>+(SUM(E92:E102)+SUM(D103))/12</f>
        <v>21481.278882046503</v>
      </c>
      <c r="S102" s="160">
        <f>+(SUM(F92:F102)+SUM(E103))/12</f>
        <v>27685.491080258606</v>
      </c>
      <c r="T102" s="160">
        <f>+(SUM(G92:G102)+SUM(F103))/12</f>
        <v>45462.273952046125</v>
      </c>
      <c r="U102" s="160">
        <f>+(SUM(H92:H102)+SUM(G103))/12</f>
        <v>58285.257891312962</v>
      </c>
      <c r="V102" s="160">
        <f t="shared" ref="V102" si="287">+(SUM(I92:I102)+SUM(H103))/12</f>
        <v>56993.220529720136</v>
      </c>
      <c r="W102" s="167">
        <f t="shared" ref="W102" si="288">+(SUM(J92:J102)+SUM(I103))/12</f>
        <v>43762.878380764152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51090.455562326577</v>
      </c>
      <c r="C103" s="160">
        <f>+'[1]10.PRECIO DEL VINO DE TRASLADO'!AA460</f>
        <v>47136.314541166204</v>
      </c>
      <c r="D103" s="160">
        <f>+'[1]10.PRECIO DEL VINO DE TRASLADO'!AA472</f>
        <v>24639.523913893678</v>
      </c>
      <c r="E103" s="160">
        <f>+'[1]10.PRECIO DEL VINO DE TRASLADO'!AA484</f>
        <v>20089.811327871841</v>
      </c>
      <c r="F103" s="160">
        <f>+'[1]10.PRECIO DEL VINO DE TRASLADO'!AA496</f>
        <v>36153.468726351712</v>
      </c>
      <c r="G103" s="160">
        <f>+'[1]10.PRECIO DEL VINO DE TRASLADO'!AA508</f>
        <v>41567.38887818619</v>
      </c>
      <c r="H103" s="160">
        <f>+'[1]10.PRECIO DEL VINO DE TRASLADO'!AA520</f>
        <v>55619.537969680809</v>
      </c>
      <c r="I103" s="160">
        <f>+'[1]10.PRECIO DEL VINO DE TRASLADO'!AA532</f>
        <v>51105.22377364651</v>
      </c>
      <c r="J103" s="160">
        <f>+'[2]10.PRECIO DEL VINO DE TRASLADO'!AA544</f>
        <v>30499.309999999998</v>
      </c>
      <c r="K103" s="166"/>
      <c r="L103" s="91"/>
      <c r="M103" s="2"/>
      <c r="N103" s="89" t="s">
        <v>9</v>
      </c>
      <c r="O103" s="166">
        <f>+AVERAGE('[1]10.PRECIO DEL VINO DE TRASLADO'!AA437:AA448)</f>
        <v>35176.115014055969</v>
      </c>
      <c r="P103" s="160">
        <f>+(SUM(C92:C103))/12</f>
        <v>44699.100318851102</v>
      </c>
      <c r="Q103" s="160">
        <f t="shared" ref="Q103" si="289">+(SUM(D92:D103))/12</f>
        <v>41100.762395745238</v>
      </c>
      <c r="R103" s="160">
        <f>+(SUM(E92:E103))/12</f>
        <v>21102.136166544686</v>
      </c>
      <c r="S103" s="160">
        <f>+(SUM(F92:F103))/12</f>
        <v>29024.129196798593</v>
      </c>
      <c r="T103" s="160">
        <f>+(SUM(G92:G103))/12</f>
        <v>45913.433964699005</v>
      </c>
      <c r="U103" s="160">
        <f>+(SUM(H92:H103))/12</f>
        <v>59456.270315604175</v>
      </c>
      <c r="V103" s="160">
        <f t="shared" ref="V103" si="290">+(SUM(I92:I103))/12</f>
        <v>56617.027680050611</v>
      </c>
      <c r="W103" s="167">
        <f t="shared" ref="W103" si="291">+(SUM(J92:J103))/12</f>
        <v>42045.71889962694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35176.115014055969</v>
      </c>
      <c r="C104" s="170">
        <f t="shared" ref="C104:I104" si="292">AVERAGE(C92:C103)</f>
        <v>44699.100318851102</v>
      </c>
      <c r="D104" s="170">
        <f t="shared" si="292"/>
        <v>41100.762395745238</v>
      </c>
      <c r="E104" s="170">
        <f t="shared" si="292"/>
        <v>21102.136166544686</v>
      </c>
      <c r="F104" s="170">
        <f t="shared" si="292"/>
        <v>29024.129196798593</v>
      </c>
      <c r="G104" s="170">
        <f t="shared" si="292"/>
        <v>45913.433964699005</v>
      </c>
      <c r="H104" s="170">
        <f t="shared" si="292"/>
        <v>59456.270315604175</v>
      </c>
      <c r="I104" s="170">
        <f t="shared" si="292"/>
        <v>56617.027680050611</v>
      </c>
      <c r="J104" s="170">
        <f t="shared" ref="J104" si="293">AVERAGE(J92:J103)</f>
        <v>42045.71889962694</v>
      </c>
      <c r="K104" s="169"/>
      <c r="L104" s="174"/>
      <c r="M104" s="3"/>
      <c r="N104" s="92" t="s">
        <v>14</v>
      </c>
      <c r="O104" s="169">
        <f t="shared" ref="O104" si="294">+AVERAGE(O92:O103)</f>
        <v>27039.731251125715</v>
      </c>
      <c r="P104" s="170">
        <f>+AVERAGE(P92:P103)</f>
        <v>41536.591163475081</v>
      </c>
      <c r="Q104" s="170">
        <f t="shared" ref="Q104:X104" si="295">+AVERAGE(Q92:Q103)</f>
        <v>45588.291392840671</v>
      </c>
      <c r="R104" s="170">
        <f t="shared" si="295"/>
        <v>28558.338595942827</v>
      </c>
      <c r="S104" s="170">
        <f t="shared" si="295"/>
        <v>23896.28831490724</v>
      </c>
      <c r="T104" s="170">
        <f t="shared" si="295"/>
        <v>39783.844966286626</v>
      </c>
      <c r="U104" s="170">
        <f t="shared" si="295"/>
        <v>53919.950647979276</v>
      </c>
      <c r="V104" s="170">
        <f t="shared" si="295"/>
        <v>58266.891685607232</v>
      </c>
      <c r="W104" s="171">
        <f t="shared" si="295"/>
        <v>49044.720525591292</v>
      </c>
      <c r="X104" s="172">
        <f t="shared" si="295"/>
        <v>38663.320497419169</v>
      </c>
      <c r="Y104" s="119">
        <f>+W104/V104-1</f>
        <v>-0.15827463750385629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296">+C104/B104-1</f>
        <v>0.27072305457808121</v>
      </c>
      <c r="D105" s="85">
        <f t="shared" si="296"/>
        <v>-8.0501350081722434E-2</v>
      </c>
      <c r="E105" s="85">
        <f t="shared" si="296"/>
        <v>-0.48657555391894181</v>
      </c>
      <c r="F105" s="85">
        <f t="shared" si="296"/>
        <v>0.37541189990108337</v>
      </c>
      <c r="G105" s="85">
        <f t="shared" si="296"/>
        <v>0.58190565006730077</v>
      </c>
      <c r="H105" s="85">
        <f t="shared" si="296"/>
        <v>0.29496457096451789</v>
      </c>
      <c r="I105" s="85">
        <f t="shared" ref="I105:J105" si="297">+I104/H104-1</f>
        <v>-4.7753460156218508E-2</v>
      </c>
      <c r="J105" s="85">
        <f t="shared" si="297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298">+P104/O104-1</f>
        <v>0.53613180462900623</v>
      </c>
      <c r="Q105" s="85">
        <f t="shared" si="298"/>
        <v>9.7545323674236073E-2</v>
      </c>
      <c r="R105" s="85">
        <f t="shared" si="298"/>
        <v>-0.37355979521470462</v>
      </c>
      <c r="S105" s="85">
        <f t="shared" si="298"/>
        <v>-0.16324655110356823</v>
      </c>
      <c r="T105" s="85">
        <f t="shared" si="298"/>
        <v>0.66485457666110603</v>
      </c>
      <c r="U105" s="85">
        <f t="shared" si="298"/>
        <v>0.35532276213301595</v>
      </c>
      <c r="V105" s="85">
        <f t="shared" si="298"/>
        <v>8.0618416474586674E-2</v>
      </c>
      <c r="W105" s="111">
        <f t="shared" ref="W105" si="299">+W104/V104-1</f>
        <v>-0.15827463750385629</v>
      </c>
      <c r="X105" s="100">
        <f t="shared" ref="X105" si="300">+X104/W104-1</f>
        <v>-0.21167212121751533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35" t="s">
        <v>297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7"/>
      <c r="M107" s="2"/>
      <c r="N107" s="335" t="s">
        <v>285</v>
      </c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7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01">+C108+1</f>
        <v>2018</v>
      </c>
      <c r="E108" s="82">
        <f t="shared" si="301"/>
        <v>2019</v>
      </c>
      <c r="F108" s="82">
        <f t="shared" si="301"/>
        <v>2020</v>
      </c>
      <c r="G108" s="82">
        <f t="shared" si="301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02">+P108+1</f>
        <v>2018</v>
      </c>
      <c r="R108" s="82">
        <f t="shared" si="302"/>
        <v>2019</v>
      </c>
      <c r="S108" s="82">
        <f t="shared" si="302"/>
        <v>2020</v>
      </c>
      <c r="T108" s="82">
        <f t="shared" ref="T108" si="303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18212.746169754115</v>
      </c>
      <c r="C109" s="160">
        <f>+'[1]10.PRECIO DEL VINO DE TRASLADO'!AB449</f>
        <v>33732.278168410514</v>
      </c>
      <c r="D109" s="160">
        <f>+'[1]10.PRECIO DEL VINO DE TRASLADO'!AB461</f>
        <v>44077.533141578591</v>
      </c>
      <c r="E109" s="160">
        <f>+'[1]10.PRECIO DEL VINO DE TRASLADO'!AB473</f>
        <v>31913.599124376131</v>
      </c>
      <c r="F109" s="160">
        <f>+'[1]10.PRECIO DEL VINO DE TRASLADO'!AB485</f>
        <v>19450.310192724166</v>
      </c>
      <c r="G109" s="160">
        <f>+'[1]10.PRECIO DEL VINO DE TRASLADO'!AB497</f>
        <v>41071.588355589185</v>
      </c>
      <c r="H109" s="160">
        <f>+'[1]10.PRECIO DEL VINO DE TRASLADO'!AB509</f>
        <v>42225.06805579894</v>
      </c>
      <c r="I109" s="160">
        <f>+'[1]10.PRECIO DEL VINO DE TRASLADO'!AB521</f>
        <v>48273.471613682217</v>
      </c>
      <c r="J109" s="160">
        <f>+'[1]10.PRECIO DEL VINO DE TRASLADO'!AB533</f>
        <v>34313.843509169878</v>
      </c>
      <c r="K109" s="166">
        <f>+'[1]10.PRECIO DEL VINO DE TRASLADO'!$AB545</f>
        <v>28102.325809617276</v>
      </c>
      <c r="L109" s="91">
        <f>+K109/J109-1</f>
        <v>-0.18102075035379417</v>
      </c>
      <c r="M109" s="2"/>
      <c r="N109" s="89" t="s">
        <v>10</v>
      </c>
      <c r="O109" s="166">
        <f>+AVERAGE('[1]10.PRECIO DEL VINO DE TRASLADO'!AB426:AB437)</f>
        <v>25638.008807799881</v>
      </c>
      <c r="P109" s="160">
        <f>+(SUM(C109)+SUM(B110:B120))/12</f>
        <v>28885.009221007746</v>
      </c>
      <c r="Q109" s="160">
        <f t="shared" ref="Q109" si="304">+(SUM(D109)+SUM(C110:C120))/12</f>
        <v>44966.792724781139</v>
      </c>
      <c r="R109" s="160">
        <f t="shared" ref="R109" si="305">+(SUM(E109)+SUM(D110:D120))/12</f>
        <v>35336.944611762803</v>
      </c>
      <c r="S109" s="160">
        <f t="shared" ref="S109" si="306">+(SUM(F109)+SUM(E110:E120))/12</f>
        <v>22437.625886270605</v>
      </c>
      <c r="T109" s="160">
        <f t="shared" ref="T109" si="307">+(SUM(G109)+SUM(F110:F120))/12</f>
        <v>32444.036334509612</v>
      </c>
      <c r="U109" s="160">
        <f t="shared" ref="U109" si="308">+(SUM(H109)+SUM(G110:G120))/12</f>
        <v>51200.174761442853</v>
      </c>
      <c r="V109" s="160">
        <f>+(SUM(I109)+SUM(H110:H120))/12</f>
        <v>48942.246832276731</v>
      </c>
      <c r="W109" s="167">
        <f>+(SUM(J109)+SUM(I110:I120))/12</f>
        <v>52930.99886038532</v>
      </c>
      <c r="X109" s="168">
        <f>+(SUM(K109)+SUM(J110:J120))/12</f>
        <v>32374.556529734982</v>
      </c>
      <c r="Y109" s="117">
        <f>+X109/W109-1</f>
        <v>-0.3883630154962977</v>
      </c>
      <c r="Z109" s="113">
        <f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22041.161568338033</v>
      </c>
      <c r="C110" s="160">
        <f>+'[1]10.PRECIO DEL VINO DE TRASLADO'!AB450</f>
        <v>37398.170805986665</v>
      </c>
      <c r="D110" s="160">
        <f>+'[1]10.PRECIO DEL VINO DE TRASLADO'!AB462</f>
        <v>43222.622055458982</v>
      </c>
      <c r="E110" s="160">
        <f>+'[1]10.PRECIO DEL VINO DE TRASLADO'!AB474</f>
        <v>25871.278887093256</v>
      </c>
      <c r="F110" s="160">
        <f>+'[1]10.PRECIO DEL VINO DE TRASLADO'!AB486</f>
        <v>18640.685488717514</v>
      </c>
      <c r="G110" s="160">
        <f>+'[1]10.PRECIO DEL VINO DE TRASLADO'!AB498</f>
        <v>42342.264312101179</v>
      </c>
      <c r="H110" s="160">
        <f>+'[1]10.PRECIO DEL VINO DE TRASLADO'!AB510</f>
        <v>44004.140515683095</v>
      </c>
      <c r="I110" s="160">
        <f>+'[1]10.PRECIO DEL VINO DE TRASLADO'!AB522</f>
        <v>42532.562505514346</v>
      </c>
      <c r="J110" s="160">
        <f>+'[1]10.PRECIO DEL VINO DE TRASLADO'!AB534</f>
        <v>37805.992513367019</v>
      </c>
      <c r="K110" s="166">
        <f>+'[1]10.PRECIO DEL VINO DE TRASLADO'!$AB546</f>
        <v>25404.990723135434</v>
      </c>
      <c r="L110" s="91">
        <f>+K110/J110-1</f>
        <v>-0.328016829232746</v>
      </c>
      <c r="M110" s="2"/>
      <c r="N110" s="89" t="s">
        <v>11</v>
      </c>
      <c r="O110" s="166">
        <f>+AVERAGE('[1]10.PRECIO DEL VINO DE TRASLADO'!AB427:AB438)</f>
        <v>25027.430404493836</v>
      </c>
      <c r="P110" s="160">
        <f>+(SUM(C109:C110)+SUM(B111:B120))/12</f>
        <v>30164.759990811795</v>
      </c>
      <c r="Q110" s="160">
        <f t="shared" ref="Q110" si="309">+(SUM(D109:D110)+SUM(C111:C120))/12</f>
        <v>45452.163662237173</v>
      </c>
      <c r="R110" s="160">
        <f t="shared" ref="R110" si="310">+(SUM(E109:E110)+SUM(D111:D120))/12</f>
        <v>33890.999347732322</v>
      </c>
      <c r="S110" s="160">
        <f t="shared" ref="S110" si="311">+(SUM(F109:F110)+SUM(E111:E120))/12</f>
        <v>21835.076436405961</v>
      </c>
      <c r="T110" s="160">
        <f t="shared" ref="T110" si="312">+(SUM(G109:G110)+SUM(F111:F120))/12</f>
        <v>34419.167903124922</v>
      </c>
      <c r="U110" s="160">
        <f t="shared" ref="U110" si="313">+(SUM(H109:H110)+SUM(G111:G120))/12</f>
        <v>51338.664445074683</v>
      </c>
      <c r="V110" s="160">
        <f t="shared" ref="V110" si="314">+(SUM(I109:I110)+SUM(H111:H120))/12</f>
        <v>48819.615331429341</v>
      </c>
      <c r="W110" s="167">
        <f t="shared" ref="W110" si="315">+(SUM(J109:J110)+SUM(I111:I120))/12</f>
        <v>52537.118027706361</v>
      </c>
      <c r="X110" s="168">
        <f t="shared" ref="X110" si="316">+(SUM(K109:K110)+SUM(J111:J120))/12</f>
        <v>31341.139713882349</v>
      </c>
      <c r="Y110" s="117">
        <f>+X110/W110-1</f>
        <v>-0.40344767869919973</v>
      </c>
      <c r="Z110" s="113">
        <f>+POWER(X110/S110,0.2)-1</f>
        <v>7.4959281256858912E-2</v>
      </c>
    </row>
    <row r="111" spans="1:26" x14ac:dyDescent="0.25">
      <c r="A111" s="89" t="s">
        <v>0</v>
      </c>
      <c r="B111" s="166">
        <f>+'[1]10.PRECIO DEL VINO DE TRASLADO'!AB439</f>
        <v>23204.79818464816</v>
      </c>
      <c r="C111" s="160">
        <f>+'[1]10.PRECIO DEL VINO DE TRASLADO'!AB451</f>
        <v>31040.374471292744</v>
      </c>
      <c r="D111" s="160">
        <f>+'[1]10.PRECIO DEL VINO DE TRASLADO'!AB463</f>
        <v>41398.981769465914</v>
      </c>
      <c r="E111" s="160">
        <f>+'[1]10.PRECIO DEL VINO DE TRASLADO'!AB475</f>
        <v>22842.039105428204</v>
      </c>
      <c r="F111" s="160">
        <f>+'[1]10.PRECIO DEL VINO DE TRASLADO'!AB487</f>
        <v>25097.955864396132</v>
      </c>
      <c r="G111" s="160">
        <f>+'[1]10.PRECIO DEL VINO DE TRASLADO'!AB499</f>
        <v>53263.306506268003</v>
      </c>
      <c r="H111" s="160">
        <f>+'[1]10.PRECIO DEL VINO DE TRASLADO'!AB511</f>
        <v>45095.310362010998</v>
      </c>
      <c r="I111" s="160">
        <f>+'[1]10.PRECIO DEL VINO DE TRASLADO'!AB523</f>
        <v>68497.279363677881</v>
      </c>
      <c r="J111" s="160">
        <f>+'[1]10.PRECIO DEL VINO DE TRASLADO'!AB535</f>
        <v>33777.011751431579</v>
      </c>
      <c r="K111" s="166">
        <f>+'[1]10.PRECIO DEL VINO DE TRASLADO'!$AB547</f>
        <v>24917.068851181462</v>
      </c>
      <c r="L111" s="91">
        <f>+K111/J111-1</f>
        <v>-0.26230688982942973</v>
      </c>
      <c r="M111" s="2"/>
      <c r="N111" s="89" t="s">
        <v>0</v>
      </c>
      <c r="O111" s="166">
        <f>+AVERAGE('[1]10.PRECIO DEL VINO DE TRASLADO'!AB428:AB439)</f>
        <v>24738.100299399128</v>
      </c>
      <c r="P111" s="160">
        <f>+(SUM(C109:C111)+SUM(B112:B120))/12</f>
        <v>30817.724681365511</v>
      </c>
      <c r="Q111" s="160">
        <f t="shared" ref="Q111" si="317">+(SUM(D109:D111)+SUM(C112:C120))/12</f>
        <v>46315.380937084934</v>
      </c>
      <c r="R111" s="160">
        <f>+(SUM(E109:E111)+SUM(D112:D120))/12</f>
        <v>32344.587459062517</v>
      </c>
      <c r="S111" s="160">
        <f>+(SUM(F109:F111)+SUM(E112:E120))/12</f>
        <v>22023.069499653287</v>
      </c>
      <c r="T111" s="160">
        <f>+(SUM(G109:G111)+SUM(F112:F120))/12</f>
        <v>36766.280456614244</v>
      </c>
      <c r="U111" s="160">
        <f>+(SUM(H109:H111)+SUM(G112:G120))/12</f>
        <v>50657.998099719924</v>
      </c>
      <c r="V111" s="160">
        <f t="shared" ref="V111" si="318">+(SUM(I109:I111)+SUM(H112:H120))/12</f>
        <v>50769.779414901575</v>
      </c>
      <c r="W111" s="167">
        <f t="shared" ref="W111" si="319">+(SUM(J109:J111)+SUM(I112:I120))/12</f>
        <v>49643.76239335251</v>
      </c>
      <c r="X111" s="168">
        <f t="shared" ref="X111" si="320">+(SUM(K109:K111)+SUM(J112:J120))/12</f>
        <v>30602.811138861507</v>
      </c>
      <c r="Y111" s="117">
        <f>+X111/W111-1</f>
        <v>-0.38355173613997995</v>
      </c>
      <c r="Z111" s="113">
        <f>+POWER(X111/S111,0.2)-1</f>
        <v>6.8013382500661912E-2</v>
      </c>
    </row>
    <row r="112" spans="1:26" x14ac:dyDescent="0.25">
      <c r="A112" s="89" t="s">
        <v>1</v>
      </c>
      <c r="B112" s="166">
        <f>+'[1]10.PRECIO DEL VINO DE TRASLADO'!AB440</f>
        <v>24794.239317642416</v>
      </c>
      <c r="C112" s="160">
        <f>+'[1]10.PRECIO DEL VINO DE TRASLADO'!AB452</f>
        <v>44700.375041665851</v>
      </c>
      <c r="D112" s="160">
        <f>+'[1]10.PRECIO DEL VINO DE TRASLADO'!AB464</f>
        <v>38771.580564899821</v>
      </c>
      <c r="E112" s="160">
        <f>+'[1]10.PRECIO DEL VINO DE TRASLADO'!AB476</f>
        <v>22793.537511541628</v>
      </c>
      <c r="F112" s="160">
        <f>+'[1]10.PRECIO DEL VINO DE TRASLADO'!AB488</f>
        <v>33540.473852200274</v>
      </c>
      <c r="G112" s="160">
        <f>+'[1]10.PRECIO DEL VINO DE TRASLADO'!AB500</f>
        <v>61735.912212575611</v>
      </c>
      <c r="H112" s="160">
        <f>+'[1]10.PRECIO DEL VINO DE TRASLADO'!AB512</f>
        <v>61377.182574607221</v>
      </c>
      <c r="I112" s="160">
        <f>+'[1]10.PRECIO DEL VINO DE TRASLADO'!AB524</f>
        <v>63255.742741690272</v>
      </c>
      <c r="J112" s="160">
        <f>+'[1]10.PRECIO DEL VINO DE TRASLADO'!AB536</f>
        <v>32719.672351132995</v>
      </c>
      <c r="K112" s="166">
        <f>+'[2]10.PRECIO DEL VINO DE TRASLADO'!AA548</f>
        <v>27217.442921106744</v>
      </c>
      <c r="L112" s="91">
        <f>+K112/J112-1</f>
        <v>-0.16816273008417593</v>
      </c>
      <c r="M112" s="2"/>
      <c r="N112" s="89" t="s">
        <v>1</v>
      </c>
      <c r="O112" s="166">
        <f>+AVERAGE('[1]10.PRECIO DEL VINO DE TRASLADO'!AB429:AB440)</f>
        <v>24690.370074897884</v>
      </c>
      <c r="P112" s="160">
        <f>+(SUM(C109:C112)+SUM(B113:B120))/12</f>
        <v>32476.569325034132</v>
      </c>
      <c r="Q112" s="160">
        <f t="shared" ref="Q112" si="321">+(SUM(D109:D112)+SUM(C113:C120))/12</f>
        <v>45821.314730687758</v>
      </c>
      <c r="R112" s="160">
        <f>+(SUM(E109:E112)+SUM(D113:D120))/12</f>
        <v>31013.083871282666</v>
      </c>
      <c r="S112" s="160">
        <f>+(SUM(F109:F112)+SUM(E113:E120))/12</f>
        <v>22918.647528041507</v>
      </c>
      <c r="T112" s="160">
        <f>+(SUM(G109:G112)+SUM(F113:F120))/12</f>
        <v>39115.900319978857</v>
      </c>
      <c r="U112" s="160">
        <f>+(SUM(H109:H112)+SUM(G113:G120))/12</f>
        <v>50628.103963222558</v>
      </c>
      <c r="V112" s="160">
        <f t="shared" ref="V112" si="322">+(SUM(I109:I112)+SUM(H113:H120))/12</f>
        <v>50926.32609549183</v>
      </c>
      <c r="W112" s="167">
        <f t="shared" ref="W112" si="323">+(SUM(J109:J112)+SUM(I113:I120))/12</f>
        <v>47099.089860806067</v>
      </c>
      <c r="X112" s="168">
        <f t="shared" ref="X112" si="324">+(SUM(K109:K112)+SUM(J113:J120))/12</f>
        <v>30144.292019692653</v>
      </c>
      <c r="Y112" s="117">
        <f>+X112/W112-1</f>
        <v>-0.35998143257588722</v>
      </c>
      <c r="Z112" s="113">
        <f>+POWER(X112/S112,0.2)-1</f>
        <v>5.6338772175938301E-2</v>
      </c>
    </row>
    <row r="113" spans="1:26" x14ac:dyDescent="0.25">
      <c r="A113" s="89" t="s">
        <v>2</v>
      </c>
      <c r="B113" s="166">
        <f>+'[1]10.PRECIO DEL VINO DE TRASLADO'!AB441</f>
        <v>28406.429755289173</v>
      </c>
      <c r="C113" s="160">
        <f>+'[1]10.PRECIO DEL VINO DE TRASLADO'!AB453</f>
        <v>44974.025901066379</v>
      </c>
      <c r="D113" s="160">
        <f>+'[1]10.PRECIO DEL VINO DE TRASLADO'!AB465</f>
        <v>38255.35982466719</v>
      </c>
      <c r="E113" s="160">
        <f>+'[1]10.PRECIO DEL VINO DE TRASLADO'!AB477</f>
        <v>22276.958492006943</v>
      </c>
      <c r="F113" s="160">
        <f>+'[1]10.PRECIO DEL VINO DE TRASLADO'!AB489</f>
        <v>30803.19078192384</v>
      </c>
      <c r="G113" s="160">
        <f>+'[1]10.PRECIO DEL VINO DE TRASLADO'!AB501</f>
        <v>55335.906247020059</v>
      </c>
      <c r="H113" s="160">
        <f>+'[1]10.PRECIO DEL VINO DE TRASLADO'!AB513</f>
        <v>54203.428774221567</v>
      </c>
      <c r="I113" s="160">
        <f>+'[1]10.PRECIO DEL VINO DE TRASLADO'!AB525</f>
        <v>63075.58509348979</v>
      </c>
      <c r="J113" s="160">
        <f>+'[1]10.PRECIO DEL VINO DE TRASLADO'!AB537</f>
        <v>32792.383532586296</v>
      </c>
      <c r="K113" s="166"/>
      <c r="L113" s="91"/>
      <c r="M113" s="2"/>
      <c r="N113" s="89" t="s">
        <v>2</v>
      </c>
      <c r="O113" s="166">
        <f>+AVERAGE('[1]10.PRECIO DEL VINO DE TRASLADO'!AB430:AB441)</f>
        <v>25170.403960836076</v>
      </c>
      <c r="P113" s="160">
        <f>+(SUM(C109:C113)+SUM(B114:B120))/12</f>
        <v>33857.202337182236</v>
      </c>
      <c r="Q113" s="160">
        <f t="shared" ref="Q113" si="325">+(SUM(D109:D113)+SUM(C114:C120))/12</f>
        <v>45261.425890987826</v>
      </c>
      <c r="R113" s="160">
        <f>+(SUM(E109:E113)+SUM(D114:D120))/12</f>
        <v>29681.550426894308</v>
      </c>
      <c r="S113" s="160">
        <f>+(SUM(F109:F113)+SUM(E114:E120))/12</f>
        <v>23629.166885534582</v>
      </c>
      <c r="T113" s="160">
        <f>+(SUM(G109:G113)+SUM(F114:F120))/12</f>
        <v>41160.293275403536</v>
      </c>
      <c r="U113" s="160">
        <f>+(SUM(H109:H113)+SUM(G114:G120))/12</f>
        <v>50533.730840489348</v>
      </c>
      <c r="V113" s="160">
        <f t="shared" ref="V113" si="326">+(SUM(I109:I113)+SUM(H114:H120))/12</f>
        <v>51665.672455430846</v>
      </c>
      <c r="W113" s="167">
        <f t="shared" ref="W113" si="327">+(SUM(J109:J113)+SUM(I114:I120))/12</f>
        <v>44575.489730730769</v>
      </c>
      <c r="X113" s="168"/>
      <c r="Y113" s="117"/>
      <c r="Z113" s="113"/>
    </row>
    <row r="114" spans="1:26" x14ac:dyDescent="0.25">
      <c r="A114" s="89" t="s">
        <v>3</v>
      </c>
      <c r="B114" s="166">
        <f>+'[1]10.PRECIO DEL VINO DE TRASLADO'!AB442</f>
        <v>26415.254813596974</v>
      </c>
      <c r="C114" s="160">
        <f>+'[1]10.PRECIO DEL VINO DE TRASLADO'!AB454</f>
        <v>49372.767552019017</v>
      </c>
      <c r="D114" s="160">
        <f>+'[1]10.PRECIO DEL VINO DE TRASLADO'!AB466</f>
        <v>37480.958081969235</v>
      </c>
      <c r="E114" s="160">
        <f>+'[1]10.PRECIO DEL VINO DE TRASLADO'!AB478</f>
        <v>22994.05959065686</v>
      </c>
      <c r="F114" s="160">
        <f>+'[1]10.PRECIO DEL VINO DE TRASLADO'!AB490</f>
        <v>31713.696869282776</v>
      </c>
      <c r="G114" s="160">
        <f>+'[1]10.PRECIO DEL VINO DE TRASLADO'!AB502</f>
        <v>51133.443553718702</v>
      </c>
      <c r="H114" s="160">
        <f>+'[1]10.PRECIO DEL VINO DE TRASLADO'!AB514</f>
        <v>55411.549550994183</v>
      </c>
      <c r="I114" s="160">
        <f>+'[1]10.PRECIO DEL VINO DE TRASLADO'!AB526</f>
        <v>57525.84383284278</v>
      </c>
      <c r="J114" s="160">
        <f>+'[1]10.PRECIO DEL VINO DE TRASLADO'!AB538</f>
        <v>32236.231271914377</v>
      </c>
      <c r="K114" s="166"/>
      <c r="L114" s="91"/>
      <c r="M114" s="2"/>
      <c r="N114" s="89" t="s">
        <v>3</v>
      </c>
      <c r="O114" s="166">
        <f>+AVERAGE('[1]10.PRECIO DEL VINO DE TRASLADO'!AB431:AB442)</f>
        <v>24955.66246221535</v>
      </c>
      <c r="P114" s="160">
        <f>+(SUM(C109:C114)+SUM(B115:B120))/12</f>
        <v>35770.3283987174</v>
      </c>
      <c r="Q114" s="160">
        <f t="shared" ref="Q114" si="328">+(SUM(D109:D114)+SUM(C115:C120))/12</f>
        <v>44270.441768483674</v>
      </c>
      <c r="R114" s="160">
        <f>+(SUM(E109:E114)+SUM(D115:D120))/12</f>
        <v>28474.308885951614</v>
      </c>
      <c r="S114" s="160">
        <f>+(SUM(F109:F114)+SUM(E115:E120))/12</f>
        <v>24355.803325420075</v>
      </c>
      <c r="T114" s="160">
        <f>+(SUM(G109:G114)+SUM(F115:F120))/12</f>
        <v>42778.605499106539</v>
      </c>
      <c r="U114" s="160">
        <f>+(SUM(H109:H114)+SUM(G115:G120))/12</f>
        <v>50890.239673595643</v>
      </c>
      <c r="V114" s="160">
        <f t="shared" ref="V114" si="329">+(SUM(I109:I114)+SUM(H115:H120))/12</f>
        <v>51841.863645584905</v>
      </c>
      <c r="W114" s="161">
        <f t="shared" ref="W114" si="330">+(SUM(J109:J114)+SUM(I115:I120))/12</f>
        <v>42468.022017320072</v>
      </c>
      <c r="X114" s="162"/>
      <c r="Y114" s="78"/>
      <c r="Z114" s="7"/>
    </row>
    <row r="115" spans="1:26" x14ac:dyDescent="0.25">
      <c r="A115" s="89" t="s">
        <v>4</v>
      </c>
      <c r="B115" s="166">
        <f>+'[1]10.PRECIO DEL VINO DE TRASLADO'!AB443</f>
        <v>26730.930665681506</v>
      </c>
      <c r="C115" s="160">
        <f>+'[1]10.PRECIO DEL VINO DE TRASLADO'!AB455</f>
        <v>46501.871553587313</v>
      </c>
      <c r="D115" s="160">
        <f>+'[1]10.PRECIO DEL VINO DE TRASLADO'!AB467</f>
        <v>36718.286016989354</v>
      </c>
      <c r="E115" s="160">
        <f>+'[1]10.PRECIO DEL VINO DE TRASLADO'!AB479</f>
        <v>22994.062275318382</v>
      </c>
      <c r="F115" s="160">
        <f>+'[1]10.PRECIO DEL VINO DE TRASLADO'!AB491</f>
        <v>33036.995159489488</v>
      </c>
      <c r="G115" s="160">
        <f>+'[1]10.PRECIO DEL VINO DE TRASLADO'!AB503</f>
        <v>58138.974100855849</v>
      </c>
      <c r="H115" s="160">
        <f>+'[1]10.PRECIO DEL VINO DE TRASLADO'!AB515</f>
        <v>54590.092135038867</v>
      </c>
      <c r="I115" s="160">
        <f>+'[1]10.PRECIO DEL VINO DE TRASLADO'!AB527</f>
        <v>56263.08783346758</v>
      </c>
      <c r="J115" s="160">
        <f>+'[1]10.PRECIO DEL VINO DE TRASLADO'!AB539</f>
        <v>33220.106657338343</v>
      </c>
      <c r="K115" s="166"/>
      <c r="L115" s="91"/>
      <c r="M115" s="2"/>
      <c r="N115" s="89" t="s">
        <v>4</v>
      </c>
      <c r="O115" s="166">
        <f>+AVERAGE('[1]10.PRECIO DEL VINO DE TRASLADO'!AB432:AB443)</f>
        <v>24696.817102872188</v>
      </c>
      <c r="P115" s="160">
        <f>+(SUM(C109:C115)+SUM(B116:B120))/12</f>
        <v>37417.906806042884</v>
      </c>
      <c r="Q115" s="160">
        <f t="shared" ref="Q115" si="331">+(SUM(D109:D115)+SUM(C116:C120))/12</f>
        <v>43455.142973767186</v>
      </c>
      <c r="R115" s="160">
        <f>+(SUM(E109:E115)+SUM(D116:D120))/12</f>
        <v>27330.623574145695</v>
      </c>
      <c r="S115" s="160">
        <f>+(SUM(F109:F115)+SUM(E116:E120))/12</f>
        <v>25192.714399100998</v>
      </c>
      <c r="T115" s="160">
        <f>+(SUM(G109:G115)+SUM(F116:F120))/12</f>
        <v>44870.437077553732</v>
      </c>
      <c r="U115" s="160">
        <f>+(SUM(H109:H115)+SUM(G116:G120))/12</f>
        <v>50594.499509777561</v>
      </c>
      <c r="V115" s="160">
        <f t="shared" ref="V115" si="332">+(SUM(I109:I115)+SUM(H116:H120))/12</f>
        <v>51981.2799537873</v>
      </c>
      <c r="W115" s="167">
        <f t="shared" ref="W115" si="333">+(SUM(J109:J115)+SUM(I116:I120))/12</f>
        <v>40547.77358597597</v>
      </c>
      <c r="X115" s="168"/>
      <c r="Y115" s="117"/>
      <c r="Z115" s="113"/>
    </row>
    <row r="116" spans="1:26" x14ac:dyDescent="0.25">
      <c r="A116" s="89" t="s">
        <v>5</v>
      </c>
      <c r="B116" s="166">
        <f>+'[1]10.PRECIO DEL VINO DE TRASLADO'!AB444</f>
        <v>28272.445515955405</v>
      </c>
      <c r="C116" s="160">
        <f>+'[1]10.PRECIO DEL VINO DE TRASLADO'!AB456</f>
        <v>49670.026250907729</v>
      </c>
      <c r="D116" s="160">
        <f>+'[1]10.PRECIO DEL VINO DE TRASLADO'!AB468</f>
        <v>32752.208577309058</v>
      </c>
      <c r="E116" s="160">
        <f>+'[1]10.PRECIO DEL VINO DE TRASLADO'!AB480</f>
        <v>22559.707518793573</v>
      </c>
      <c r="F116" s="160">
        <f>+'[1]10.PRECIO DEL VINO DE TRASLADO'!AB492</f>
        <v>32359.533725872745</v>
      </c>
      <c r="G116" s="160">
        <f>+'[1]10.PRECIO DEL VINO DE TRASLADO'!AB504</f>
        <v>58596.116913787802</v>
      </c>
      <c r="H116" s="160">
        <f>+'[1]10.PRECIO DEL VINO DE TRASLADO'!AB516</f>
        <v>42949.240880671168</v>
      </c>
      <c r="I116" s="160">
        <f>+'[1]10.PRECIO DEL VINO DE TRASLADO'!AB528</f>
        <v>50846.144555888699</v>
      </c>
      <c r="J116" s="160">
        <f>+'[1]10.PRECIO DEL VINO DE TRASLADO'!AB540</f>
        <v>33762.398327579744</v>
      </c>
      <c r="K116" s="166"/>
      <c r="L116" s="91"/>
      <c r="M116" s="2"/>
      <c r="N116" s="89" t="s">
        <v>5</v>
      </c>
      <c r="O116" s="166">
        <f>+AVERAGE('[1]10.PRECIO DEL VINO DE TRASLADO'!AB433:AB444)</f>
        <v>24647.148418671917</v>
      </c>
      <c r="P116" s="160">
        <f>+(SUM(C109:C116)+SUM(B117:B120))/12</f>
        <v>39201.03853395558</v>
      </c>
      <c r="Q116" s="160">
        <f t="shared" ref="Q116" si="334">+(SUM(D109:D116)+SUM(C117:C120))/12</f>
        <v>42045.324834300627</v>
      </c>
      <c r="R116" s="160">
        <f>+(SUM(E109:E116)+SUM(D117:D120))/12</f>
        <v>26481.248485936074</v>
      </c>
      <c r="S116" s="160">
        <f>+(SUM(F109:F116)+SUM(E117:E120))/12</f>
        <v>26009.366583024268</v>
      </c>
      <c r="T116" s="160">
        <f>+(SUM(G109:G116)+SUM(F117:F120))/12</f>
        <v>47056.81900987999</v>
      </c>
      <c r="U116" s="160">
        <f>+(SUM(H109:H116)+SUM(G117:G120))/12</f>
        <v>49290.593173684516</v>
      </c>
      <c r="V116" s="160">
        <f t="shared" ref="V116" si="335">+(SUM(I109:I116)+SUM(H117:H120))/12</f>
        <v>52639.355260055418</v>
      </c>
      <c r="W116" s="167">
        <f t="shared" ref="W116" si="336">+(SUM(J109:J116)+SUM(I117:I120))/12</f>
        <v>39124.128066950223</v>
      </c>
      <c r="X116" s="168"/>
      <c r="Y116" s="117"/>
      <c r="Z116" s="113"/>
    </row>
    <row r="117" spans="1:26" x14ac:dyDescent="0.25">
      <c r="A117" s="89" t="s">
        <v>6</v>
      </c>
      <c r="B117" s="166">
        <f>+'[1]10.PRECIO DEL VINO DE TRASLADO'!AB445</f>
        <v>29955.255397506244</v>
      </c>
      <c r="C117" s="160">
        <f>+'[1]10.PRECIO DEL VINO DE TRASLADO'!AB457</f>
        <v>48163.978436236714</v>
      </c>
      <c r="D117" s="160">
        <f>+'[1]10.PRECIO DEL VINO DE TRASLADO'!AB469</f>
        <v>32519.691440941901</v>
      </c>
      <c r="E117" s="160">
        <f>+'[1]10.PRECIO DEL VINO DE TRASLADO'!AB481</f>
        <v>22421.072779073555</v>
      </c>
      <c r="F117" s="160">
        <f>+'[1]10.PRECIO DEL VINO DE TRASLADO'!AB493</f>
        <v>31656.733769288523</v>
      </c>
      <c r="G117" s="160">
        <f>+'[1]10.PRECIO DEL VINO DE TRASLADO'!AB505</f>
        <v>53160.839220284455</v>
      </c>
      <c r="H117" s="160">
        <f>+'[1]10.PRECIO DEL VINO DE TRASLADO'!AB517</f>
        <v>51155.348677475733</v>
      </c>
      <c r="I117" s="160">
        <f>+'[1]10.PRECIO DEL VINO DE TRASLADO'!AB529</f>
        <v>60747.650890193399</v>
      </c>
      <c r="J117" s="160">
        <f>+'[1]10.PRECIO DEL VINO DE TRASLADO'!AB541</f>
        <v>36467.051654492156</v>
      </c>
      <c r="K117" s="166"/>
      <c r="L117" s="91"/>
      <c r="M117" s="2"/>
      <c r="N117" s="89" t="s">
        <v>6</v>
      </c>
      <c r="O117" s="166">
        <f>+AVERAGE('[1]10.PRECIO DEL VINO DE TRASLADO'!AB434:AB445)</f>
        <v>24889.434690121954</v>
      </c>
      <c r="P117" s="160">
        <f>+(SUM(C109:C117)+SUM(B118:B120))/12</f>
        <v>40718.432120516452</v>
      </c>
      <c r="Q117" s="160">
        <f t="shared" ref="Q117" si="337">+(SUM(D109:D117)+SUM(C118:C120))/12</f>
        <v>40741.634251359392</v>
      </c>
      <c r="R117" s="160">
        <f>+(SUM(E109:E117)+SUM(D118:D120))/12</f>
        <v>25639.696930780377</v>
      </c>
      <c r="S117" s="160">
        <f>+(SUM(F109:F117)+SUM(E118:E120))/12</f>
        <v>26779.004998875516</v>
      </c>
      <c r="T117" s="160">
        <f>+(SUM(G109:G117)+SUM(F118:F120))/12</f>
        <v>48848.827797462989</v>
      </c>
      <c r="U117" s="160">
        <f>+(SUM(H109:H117)+SUM(G118:G120))/12</f>
        <v>49123.468961783779</v>
      </c>
      <c r="V117" s="160">
        <f t="shared" ref="V117" si="338">+(SUM(I109:I117)+SUM(H118:H120))/12</f>
        <v>53438.713777781893</v>
      </c>
      <c r="W117" s="167">
        <f t="shared" ref="W117" si="339">+(SUM(J109:J117)+SUM(I118:I120))/12</f>
        <v>37100.744797308456</v>
      </c>
      <c r="X117" s="168"/>
      <c r="Y117" s="117"/>
      <c r="Z117" s="113"/>
    </row>
    <row r="118" spans="1:26" x14ac:dyDescent="0.25">
      <c r="A118" s="89" t="s">
        <v>7</v>
      </c>
      <c r="B118" s="166">
        <f>+'[1]10.PRECIO DEL VINO DE TRASLADO'!AB446</f>
        <v>37766.035456016536</v>
      </c>
      <c r="C118" s="160">
        <f>+'[1]10.PRECIO DEL VINO DE TRASLADO'!AB458</f>
        <v>54989.83541675342</v>
      </c>
      <c r="D118" s="160">
        <f>+'[1]10.PRECIO DEL VINO DE TRASLADO'!AB470</f>
        <v>31414.26920460779</v>
      </c>
      <c r="E118" s="160">
        <f>+'[1]10.PRECIO DEL VINO DE TRASLADO'!AB482</f>
        <v>23632.693498051143</v>
      </c>
      <c r="F118" s="160">
        <f>+'[1]10.PRECIO DEL VINO DE TRASLADO'!AB494</f>
        <v>34064.664660844981</v>
      </c>
      <c r="G118" s="160">
        <f>+'[1]10.PRECIO DEL VINO DE TRASLADO'!AB506</f>
        <v>49732.297354533061</v>
      </c>
      <c r="H118" s="160">
        <f>+'[1]10.PRECIO DEL VINO DE TRASLADO'!AB518</f>
        <v>40924.522586652311</v>
      </c>
      <c r="I118" s="160">
        <f>+'[1]10.PRECIO DEL VINO DE TRASLADO'!AB530</f>
        <v>59722.473374197354</v>
      </c>
      <c r="J118" s="160">
        <f>+'[1]10.PRECIO DEL VINO DE TRASLADO'!AB542</f>
        <v>30365.35796736</v>
      </c>
      <c r="K118" s="166"/>
      <c r="L118" s="91"/>
      <c r="M118" s="2"/>
      <c r="N118" s="89" t="s">
        <v>7</v>
      </c>
      <c r="O118" s="166">
        <f>+AVERAGE('[1]10.PRECIO DEL VINO DE TRASLADO'!AB435:AB446)</f>
        <v>25835.972927005103</v>
      </c>
      <c r="P118" s="160">
        <f>+(SUM(C109:C118)+SUM(B119:B120))/12</f>
        <v>42153.748783911193</v>
      </c>
      <c r="Q118" s="160">
        <f t="shared" ref="Q118" si="340">+(SUM(D109:D118)+SUM(C119:C120))/12</f>
        <v>38777.003733680591</v>
      </c>
      <c r="R118" s="160">
        <f>+(SUM(E109:E118)+SUM(D119:D120))/12</f>
        <v>24991.232288567324</v>
      </c>
      <c r="S118" s="160">
        <f>+(SUM(F109:F118)+SUM(E119:E120))/12</f>
        <v>27648.335929108332</v>
      </c>
      <c r="T118" s="160">
        <f>+(SUM(G109:G118)+SUM(F119:F120))/12</f>
        <v>50154.463855270325</v>
      </c>
      <c r="U118" s="160">
        <f>+(SUM(H109:H118)+SUM(G119:G120))/12</f>
        <v>48389.487731127047</v>
      </c>
      <c r="V118" s="160">
        <f t="shared" ref="V118" si="341">+(SUM(I109:I118)+SUM(H119:H120))/12</f>
        <v>55005.20967674398</v>
      </c>
      <c r="W118" s="167">
        <f t="shared" ref="W118" si="342">+(SUM(J109:J118)+SUM(I119:I120))/12</f>
        <v>34654.318513405342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32320.95597167372</v>
      </c>
      <c r="C119" s="160">
        <f>+'[1]10.PRECIO DEL VINO DE TRASLADO'!AB459</f>
        <v>44675.659170830448</v>
      </c>
      <c r="D119" s="160">
        <f>+'[1]10.PRECIO DEL VINO DE TRASLADO'!AB471</f>
        <v>29159.007423075687</v>
      </c>
      <c r="E119" s="160">
        <f>+'[1]10.PRECIO DEL VINO DE TRASLADO'!AB483</f>
        <v>20300.414174863021</v>
      </c>
      <c r="F119" s="160">
        <f>+'[1]10.PRECIO DEL VINO DE TRASLADO'!AB495</f>
        <v>37737.91162799266</v>
      </c>
      <c r="G119" s="160">
        <f>+'[1]10.PRECIO DEL VINO DE TRASLADO'!AB507</f>
        <v>39261.420733771702</v>
      </c>
      <c r="H119" s="160">
        <f>+'[1]10.PRECIO DEL VINO DE TRASLADO'!AB519</f>
        <v>41119.029494177594</v>
      </c>
      <c r="I119" s="160">
        <f>+'[1]10.PRECIO DEL VINO DE TRASLADO'!AB531</f>
        <v>42187.639921735397</v>
      </c>
      <c r="J119" s="160">
        <f>+'[1]10.PRECIO DEL VINO DE TRASLADO'!AB543</f>
        <v>29165.526519999996</v>
      </c>
      <c r="K119" s="166"/>
      <c r="L119" s="91"/>
      <c r="M119" s="2"/>
      <c r="N119" s="89" t="s">
        <v>8</v>
      </c>
      <c r="O119" s="166">
        <f>+AVERAGE('[1]10.PRECIO DEL VINO DE TRASLADO'!AB436:AB447)</f>
        <v>26773.063669095616</v>
      </c>
      <c r="P119" s="160">
        <f>+(SUM(C109:C119)+SUM(B120))/12</f>
        <v>43183.307383840925</v>
      </c>
      <c r="Q119" s="160">
        <f t="shared" ref="Q119" si="343">+(SUM(D109:D119)+SUM(C120))/12</f>
        <v>37483.949421367688</v>
      </c>
      <c r="R119" s="160">
        <f>+(SUM(E109:E119)+SUM(D120))/12</f>
        <v>24253.016184549604</v>
      </c>
      <c r="S119" s="160">
        <f>+(SUM(F109:F119)+SUM(E120))/12</f>
        <v>29101.460716869133</v>
      </c>
      <c r="T119" s="160">
        <f>+(SUM(G109:G119)+SUM(F120))/12</f>
        <v>50281.422947418585</v>
      </c>
      <c r="U119" s="160">
        <f>+(SUM(H109:H119)+SUM(G120))/12</f>
        <v>48544.288461160875</v>
      </c>
      <c r="V119" s="160">
        <f t="shared" ref="V119" si="344">+(SUM(I109:I119)+SUM(H120))/12</f>
        <v>55094.260545707133</v>
      </c>
      <c r="W119" s="167">
        <f t="shared" ref="W119" si="345">+(SUM(J109:J119)+SUM(I120))/12</f>
        <v>33569.142396594056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32980.325837334269</v>
      </c>
      <c r="C120" s="160">
        <f>+'[1]10.PRECIO DEL VINO DE TRASLADO'!AB460</f>
        <v>44036.894955448828</v>
      </c>
      <c r="D120" s="160">
        <f>+'[1]10.PRECIO DEL VINO DE TRASLADO'!AB472</f>
        <v>30436.771257392546</v>
      </c>
      <c r="E120" s="160">
        <f>+'[1]10.PRECIO DEL VINO DE TRASLADO'!AB484</f>
        <v>21115.376609696552</v>
      </c>
      <c r="F120" s="160">
        <f>+'[1]10.PRECIO DEL VINO DE TRASLADO'!AB496</f>
        <v>39605.005858517245</v>
      </c>
      <c r="G120" s="160">
        <f>+'[1]10.PRECIO DEL VINO DE TRASLADO'!AB508</f>
        <v>49476.547926598811</v>
      </c>
      <c r="H120" s="160">
        <f>+'[1]10.PRECIO DEL VINO DE TRASLADO'!AB520</f>
        <v>48203.644822105824</v>
      </c>
      <c r="I120" s="160">
        <f>+'[1]10.PRECIO DEL VINO DE TRASLADO'!AB532</f>
        <v>36204.132702756317</v>
      </c>
      <c r="J120" s="160">
        <f>+'[2]10.PRECIO DEL VINO DE TRASLADO'!AB544</f>
        <v>28080.620000000003</v>
      </c>
      <c r="K120" s="166"/>
      <c r="L120" s="91"/>
      <c r="M120" s="2"/>
      <c r="N120" s="89" t="s">
        <v>9</v>
      </c>
      <c r="O120" s="166">
        <f>+AVERAGE('[1]10.PRECIO DEL VINO DE TRASLADO'!AB437:AB448)</f>
        <v>27591.71488778638</v>
      </c>
      <c r="P120" s="160">
        <f>+(SUM(C109:C120))/12</f>
        <v>44104.688143683801</v>
      </c>
      <c r="Q120" s="160">
        <f t="shared" ref="Q120" si="346">+(SUM(D109:D120))/12</f>
        <v>36350.605779862999</v>
      </c>
      <c r="R120" s="160">
        <f>+(SUM(E109:E120))/12</f>
        <v>23476.233297241604</v>
      </c>
      <c r="S120" s="160">
        <f>+(SUM(F109:F120))/12</f>
        <v>30642.263154270859</v>
      </c>
      <c r="T120" s="160">
        <f>+(SUM(G109:G120))/12</f>
        <v>51104.051453092048</v>
      </c>
      <c r="U120" s="160">
        <f>+(SUM(H109:H120))/12</f>
        <v>48438.213202453124</v>
      </c>
      <c r="V120" s="160">
        <f t="shared" ref="V120" si="347">+(SUM(I109:I120))/12</f>
        <v>54094.301202428003</v>
      </c>
      <c r="W120" s="167">
        <f t="shared" ref="W120" si="348">+(SUM(J109:J120))/12</f>
        <v>32892.183004697697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27591.71488778638</v>
      </c>
      <c r="C121" s="170">
        <f t="shared" ref="C121:I121" si="349">AVERAGE(C109:C120)</f>
        <v>44104.688143683801</v>
      </c>
      <c r="D121" s="170">
        <f t="shared" si="349"/>
        <v>36350.605779862999</v>
      </c>
      <c r="E121" s="170">
        <f t="shared" si="349"/>
        <v>23476.233297241604</v>
      </c>
      <c r="F121" s="170">
        <f t="shared" si="349"/>
        <v>30642.263154270859</v>
      </c>
      <c r="G121" s="170">
        <f t="shared" si="349"/>
        <v>51104.051453092048</v>
      </c>
      <c r="H121" s="170">
        <f t="shared" si="349"/>
        <v>48438.213202453124</v>
      </c>
      <c r="I121" s="170">
        <f t="shared" si="349"/>
        <v>54094.301202428003</v>
      </c>
      <c r="J121" s="170">
        <f t="shared" ref="J121" si="350">AVERAGE(J109:J120)</f>
        <v>32892.183004697697</v>
      </c>
      <c r="K121" s="169"/>
      <c r="L121" s="174"/>
      <c r="M121" s="3"/>
      <c r="N121" s="92" t="s">
        <v>14</v>
      </c>
      <c r="O121" s="169">
        <f t="shared" ref="O121" si="351">+AVERAGE(O109:O120)</f>
        <v>25387.843975432941</v>
      </c>
      <c r="P121" s="170">
        <f>+AVERAGE(P109:P120)</f>
        <v>36562.559643839129</v>
      </c>
      <c r="Q121" s="170">
        <f t="shared" ref="Q121:X121" si="352">+AVERAGE(Q109:Q120)</f>
        <v>42578.431725716749</v>
      </c>
      <c r="R121" s="170">
        <f t="shared" si="352"/>
        <v>28576.127113658917</v>
      </c>
      <c r="S121" s="170">
        <f t="shared" si="352"/>
        <v>25214.377945214597</v>
      </c>
      <c r="T121" s="170">
        <f t="shared" si="352"/>
        <v>43250.025494117952</v>
      </c>
      <c r="U121" s="170">
        <f t="shared" si="352"/>
        <v>49969.121901960993</v>
      </c>
      <c r="V121" s="170">
        <f t="shared" si="352"/>
        <v>52101.552015968249</v>
      </c>
      <c r="W121" s="171">
        <f t="shared" si="352"/>
        <v>42261.897604602738</v>
      </c>
      <c r="X121" s="172">
        <f t="shared" si="352"/>
        <v>31115.699850542875</v>
      </c>
      <c r="Y121" s="119">
        <f>+W121/V121-1</f>
        <v>-0.18885530335737066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353">+C121/B121-1</f>
        <v>0.59847578604862206</v>
      </c>
      <c r="D122" s="85">
        <f t="shared" si="353"/>
        <v>-0.17581084211636711</v>
      </c>
      <c r="E122" s="85">
        <f t="shared" si="353"/>
        <v>-0.3541721576962924</v>
      </c>
      <c r="F122" s="85">
        <f t="shared" si="353"/>
        <v>0.30524615113069453</v>
      </c>
      <c r="G122" s="85">
        <f t="shared" si="353"/>
        <v>0.6677636111864429</v>
      </c>
      <c r="H122" s="85">
        <f t="shared" si="353"/>
        <v>-5.2164910116487939E-2</v>
      </c>
      <c r="I122" s="85">
        <f t="shared" ref="I122:J122" si="354">+I121/H121-1</f>
        <v>0.11676912970209297</v>
      </c>
      <c r="J122" s="85">
        <f t="shared" si="354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355">+P121/O121-1</f>
        <v>0.44016008918361194</v>
      </c>
      <c r="Q122" s="85">
        <f t="shared" si="355"/>
        <v>0.16453640391917435</v>
      </c>
      <c r="R122" s="85">
        <f t="shared" si="355"/>
        <v>-0.3288590970719254</v>
      </c>
      <c r="S122" s="85">
        <f t="shared" si="355"/>
        <v>-0.11764187480946142</v>
      </c>
      <c r="T122" s="85">
        <f t="shared" si="355"/>
        <v>0.71529218718347631</v>
      </c>
      <c r="U122" s="85">
        <f t="shared" si="355"/>
        <v>0.15535473866383831</v>
      </c>
      <c r="V122" s="85">
        <f t="shared" si="355"/>
        <v>4.2674956710087253E-2</v>
      </c>
      <c r="W122" s="111">
        <f t="shared" ref="W122" si="356">+W121/V121-1</f>
        <v>-0.18885530335737066</v>
      </c>
      <c r="X122" s="100">
        <f t="shared" ref="X122" si="357">+X121/W121-1</f>
        <v>-0.26374106194526226</v>
      </c>
      <c r="Y122" s="99"/>
      <c r="Z122" s="115"/>
    </row>
    <row r="124" spans="1:26" x14ac:dyDescent="0.25">
      <c r="A124" s="335" t="s">
        <v>298</v>
      </c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7"/>
      <c r="M124" s="2"/>
      <c r="N124" s="335" t="s">
        <v>284</v>
      </c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7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358">+C125+1</f>
        <v>2018</v>
      </c>
      <c r="E125" s="82">
        <f t="shared" si="358"/>
        <v>2019</v>
      </c>
      <c r="F125" s="82">
        <f t="shared" si="358"/>
        <v>2020</v>
      </c>
      <c r="G125" s="82">
        <f t="shared" si="358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359">+P125+1</f>
        <v>2018</v>
      </c>
      <c r="R125" s="82">
        <f t="shared" si="359"/>
        <v>2019</v>
      </c>
      <c r="S125" s="82">
        <f t="shared" si="359"/>
        <v>2020</v>
      </c>
      <c r="T125" s="82">
        <f t="shared" ref="T125" si="360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29100.085397071947</v>
      </c>
      <c r="C126" s="160">
        <f>+'[1]10.PRECIO DEL VINO DE TRASLADO'!AC449</f>
        <v>68602.052935559987</v>
      </c>
      <c r="D126" s="160">
        <f>+'[1]10.PRECIO DEL VINO DE TRASLADO'!AC461</f>
        <v>58181.176902856176</v>
      </c>
      <c r="E126" s="160">
        <f>+'[1]10.PRECIO DEL VINO DE TRASLADO'!AC473</f>
        <v>37659.790021186309</v>
      </c>
      <c r="F126" s="160">
        <f>+'[1]10.PRECIO DEL VINO DE TRASLADO'!AC485</f>
        <v>23306.028747043085</v>
      </c>
      <c r="G126" s="160">
        <f>+'[1]10.PRECIO DEL VINO DE TRASLADO'!AC497</f>
        <v>42790.486242879204</v>
      </c>
      <c r="H126" s="160">
        <f>+'[1]10.PRECIO DEL VINO DE TRASLADO'!AC509</f>
        <v>49913.168205150134</v>
      </c>
      <c r="I126" s="160">
        <f>+'[1]10.PRECIO DEL VINO DE TRASLADO'!AC521</f>
        <v>64751.075616798465</v>
      </c>
      <c r="J126" s="160">
        <f>+'[1]10.PRECIO DEL VINO DE TRASLADO'!AC533</f>
        <v>55687.883252446889</v>
      </c>
      <c r="K126" s="166">
        <f>+'[1]10.PRECIO DEL VINO DE TRASLADO'!$AC545</f>
        <v>39067.095191364089</v>
      </c>
      <c r="L126" s="91">
        <f>+K126/J126-1</f>
        <v>-0.29846327585727539</v>
      </c>
      <c r="M126" s="2"/>
      <c r="N126" s="89" t="s">
        <v>10</v>
      </c>
      <c r="O126" s="166">
        <f>+AVERAGE('[1]10.PRECIO DEL VINO DE TRASLADO'!AC426:AC437)</f>
        <v>32800.851403434033</v>
      </c>
      <c r="P126" s="160">
        <f>+(SUM(C126)+SUM(B127:B137))/12</f>
        <v>50357.940842880984</v>
      </c>
      <c r="Q126" s="160">
        <f t="shared" ref="Q126" si="361">+(SUM(D126)+SUM(C127:C137))/12</f>
        <v>66505.540837142689</v>
      </c>
      <c r="R126" s="160">
        <f t="shared" ref="R126" si="362">+(SUM(E126)+SUM(D127:D137))/12</f>
        <v>45976.66711166266</v>
      </c>
      <c r="S126" s="160">
        <f t="shared" ref="S126" si="363">+(SUM(F126)+SUM(E127:E137))/12</f>
        <v>27337.954606769927</v>
      </c>
      <c r="T126" s="160">
        <f t="shared" ref="T126" si="364">+(SUM(G126)+SUM(F127:F137))/12</f>
        <v>33932.624314930537</v>
      </c>
      <c r="U126" s="160">
        <f t="shared" ref="U126" si="365">+(SUM(H126)+SUM(G127:G137))/12</f>
        <v>54067.968497154747</v>
      </c>
      <c r="V126" s="160">
        <f>+(SUM(I126)+SUM(H127:H137))/12</f>
        <v>59888.84028614057</v>
      </c>
      <c r="W126" s="167">
        <f>+(SUM(J126)+SUM(I127:I137))/12</f>
        <v>63699.440153166834</v>
      </c>
      <c r="X126" s="168">
        <f>+(SUM(K126)+SUM(J127:J137))/12</f>
        <v>45363.121760828653</v>
      </c>
      <c r="Y126" s="117">
        <f>+X126/W126-1</f>
        <v>-0.28785682179071059</v>
      </c>
      <c r="Z126" s="113">
        <f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31462.742630297878</v>
      </c>
      <c r="C127" s="160">
        <f>+'[1]10.PRECIO DEL VINO DE TRASLADO'!AC450</f>
        <v>66039.833410464009</v>
      </c>
      <c r="D127" s="160">
        <f>+'[1]10.PRECIO DEL VINO DE TRASLADO'!AC462</f>
        <v>57952.036355287186</v>
      </c>
      <c r="E127" s="160">
        <f>+'[1]10.PRECIO DEL VINO DE TRASLADO'!AC474</f>
        <v>33293.021551052625</v>
      </c>
      <c r="F127" s="160">
        <f>+'[1]10.PRECIO DEL VINO DE TRASLADO'!AC486</f>
        <v>23975.268087390727</v>
      </c>
      <c r="G127" s="160">
        <f>+'[1]10.PRECIO DEL VINO DE TRASLADO'!AC498</f>
        <v>41839.122109636883</v>
      </c>
      <c r="H127" s="160">
        <f>+'[1]10.PRECIO DEL VINO DE TRASLADO'!AC510</f>
        <v>51271.330337101172</v>
      </c>
      <c r="I127" s="160">
        <f>+'[1]10.PRECIO DEL VINO DE TRASLADO'!AC522</f>
        <v>73519.83179866476</v>
      </c>
      <c r="J127" s="160">
        <f>+'[1]10.PRECIO DEL VINO DE TRASLADO'!AC534</f>
        <v>53114.325684079638</v>
      </c>
      <c r="K127" s="166">
        <f>+'[1]10.PRECIO DEL VINO DE TRASLADO'!$AC546</f>
        <v>39834.98106292935</v>
      </c>
      <c r="L127" s="91">
        <f>+K127/J127-1</f>
        <v>-0.2500143690072415</v>
      </c>
      <c r="M127" s="2"/>
      <c r="N127" s="89" t="s">
        <v>11</v>
      </c>
      <c r="O127" s="166">
        <f>+AVERAGE('[1]10.PRECIO DEL VINO DE TRASLADO'!AC427:AC438)</f>
        <v>32617.680656496635</v>
      </c>
      <c r="P127" s="160">
        <f>+(SUM(C126:C127)+SUM(B128:B137))/12</f>
        <v>53239.365074561494</v>
      </c>
      <c r="Q127" s="160">
        <f t="shared" ref="Q127" si="366">+(SUM(D126:D127)+SUM(C128:C137))/12</f>
        <v>65831.557749211293</v>
      </c>
      <c r="R127" s="160">
        <f t="shared" ref="R127" si="367">+(SUM(E126:E127)+SUM(D128:D137))/12</f>
        <v>43921.749211309791</v>
      </c>
      <c r="S127" s="160">
        <f t="shared" ref="S127" si="368">+(SUM(F126:F127)+SUM(E128:E137))/12</f>
        <v>26561.475151464765</v>
      </c>
      <c r="T127" s="160">
        <f t="shared" ref="T127" si="369">+(SUM(G126:G127)+SUM(F128:F137))/12</f>
        <v>35421.278816784383</v>
      </c>
      <c r="U127" s="160">
        <f t="shared" ref="U127" si="370">+(SUM(H126:H127)+SUM(G128:G137))/12</f>
        <v>54853.985849443437</v>
      </c>
      <c r="V127" s="160">
        <f t="shared" ref="V127" si="371">+(SUM(I126:I127)+SUM(H128:H137))/12</f>
        <v>61742.882074604211</v>
      </c>
      <c r="W127" s="167">
        <f t="shared" ref="W127" si="372">+(SUM(J126:J127)+SUM(I128:I137))/12</f>
        <v>61998.981310284747</v>
      </c>
      <c r="X127" s="168">
        <f t="shared" ref="X127" si="373">+(SUM(K126:K127)+SUM(J128:J137))/12</f>
        <v>44256.509709066129</v>
      </c>
      <c r="Y127" s="117">
        <f>+X127/W127-1</f>
        <v>-0.28617359876323312</v>
      </c>
      <c r="Z127" s="113">
        <f>+POWER(X127/S127,0.2)-1</f>
        <v>0.10750321056084</v>
      </c>
    </row>
    <row r="128" spans="1:26" x14ac:dyDescent="0.25">
      <c r="A128" s="89" t="s">
        <v>0</v>
      </c>
      <c r="B128" s="166">
        <f>+'[1]10.PRECIO DEL VINO DE TRASLADO'!AC439</f>
        <v>35662.339157090712</v>
      </c>
      <c r="C128" s="160">
        <f>+'[1]10.PRECIO DEL VINO DE TRASLADO'!AC451</f>
        <v>61761.659255403072</v>
      </c>
      <c r="D128" s="160">
        <f>+'[1]10.PRECIO DEL VINO DE TRASLADO'!AC463</f>
        <v>50950.537025328973</v>
      </c>
      <c r="E128" s="160">
        <f>+'[1]10.PRECIO DEL VINO DE TRASLADO'!AC475</f>
        <v>27944.628219014874</v>
      </c>
      <c r="F128" s="160">
        <f>+'[1]10.PRECIO DEL VINO DE TRASLADO'!AC487</f>
        <v>25989.443836433355</v>
      </c>
      <c r="G128" s="160">
        <f>+'[1]10.PRECIO DEL VINO DE TRASLADO'!AC499</f>
        <v>52711.757159338638</v>
      </c>
      <c r="H128" s="160">
        <f>+'[1]10.PRECIO DEL VINO DE TRASLADO'!AC511</f>
        <v>55786.800889502614</v>
      </c>
      <c r="I128" s="160">
        <f>+'[1]10.PRECIO DEL VINO DE TRASLADO'!AC523</f>
        <v>76040.988373138374</v>
      </c>
      <c r="J128" s="160">
        <f>+'[1]10.PRECIO DEL VINO DE TRASLADO'!AC535</f>
        <v>55265.150176991003</v>
      </c>
      <c r="K128" s="166">
        <f>+'[1]10.PRECIO DEL VINO DE TRASLADO'!$AC547</f>
        <v>37122.50361501766</v>
      </c>
      <c r="L128" s="91">
        <f>+K128/J128-1</f>
        <v>-0.32828367432043681</v>
      </c>
      <c r="M128" s="2"/>
      <c r="N128" s="89" t="s">
        <v>0</v>
      </c>
      <c r="O128" s="166">
        <f>+AVERAGE('[1]10.PRECIO DEL VINO DE TRASLADO'!AC428:AC439)</f>
        <v>32807.212423977508</v>
      </c>
      <c r="P128" s="160">
        <f>+(SUM(C126:C128)+SUM(B129:B137))/12</f>
        <v>55414.308416087522</v>
      </c>
      <c r="Q128" s="160">
        <f t="shared" ref="Q128" si="374">+(SUM(D126:D128)+SUM(C129:C137))/12</f>
        <v>64930.630896705115</v>
      </c>
      <c r="R128" s="160">
        <f>+(SUM(E126:E128)+SUM(D129:D137))/12</f>
        <v>42004.590144116948</v>
      </c>
      <c r="S128" s="160">
        <f>+(SUM(F126:F128)+SUM(E129:E137))/12</f>
        <v>26398.543119582973</v>
      </c>
      <c r="T128" s="160">
        <f>+(SUM(G126:G128)+SUM(F129:F137))/12</f>
        <v>37648.138260359825</v>
      </c>
      <c r="U128" s="160">
        <f>+(SUM(H126:H128)+SUM(G129:G137))/12</f>
        <v>55110.239493623762</v>
      </c>
      <c r="V128" s="160">
        <f t="shared" ref="V128" si="375">+(SUM(I126:I128)+SUM(H129:H137))/12</f>
        <v>63430.731031573865</v>
      </c>
      <c r="W128" s="167">
        <f t="shared" ref="W128" si="376">+(SUM(J126:J128)+SUM(I129:I137))/12</f>
        <v>60267.661460605792</v>
      </c>
      <c r="X128" s="168">
        <f t="shared" ref="X128" si="377">+(SUM(K126:K128)+SUM(J129:J137))/12</f>
        <v>42744.62249556835</v>
      </c>
      <c r="Y128" s="117">
        <f>+X128/W128-1</f>
        <v>-0.29075359057181016</v>
      </c>
      <c r="Z128" s="113">
        <f>+POWER(X128/S128,0.2)-1</f>
        <v>0.10118504639939152</v>
      </c>
    </row>
    <row r="129" spans="1:26" x14ac:dyDescent="0.25">
      <c r="A129" s="89" t="s">
        <v>1</v>
      </c>
      <c r="B129" s="166">
        <f>+'[1]10.PRECIO DEL VINO DE TRASLADO'!AC440</f>
        <v>37685.580135637865</v>
      </c>
      <c r="C129" s="160">
        <f>+'[1]10.PRECIO DEL VINO DE TRASLADO'!AC452</f>
        <v>60452.24183633738</v>
      </c>
      <c r="D129" s="160">
        <f>+'[1]10.PRECIO DEL VINO DE TRASLADO'!AC464</f>
        <v>56358.082012018567</v>
      </c>
      <c r="E129" s="160">
        <f>+'[1]10.PRECIO DEL VINO DE TRASLADO'!AC476</f>
        <v>27106.266266410174</v>
      </c>
      <c r="F129" s="160">
        <f>+'[1]10.PRECIO DEL VINO DE TRASLADO'!AC488</f>
        <v>32411.27481526335</v>
      </c>
      <c r="G129" s="160">
        <f>+'[1]10.PRECIO DEL VINO DE TRASLADO'!AC500</f>
        <v>62548.189127723774</v>
      </c>
      <c r="H129" s="160">
        <f>+'[1]10.PRECIO DEL VINO DE TRASLADO'!AC512</f>
        <v>68882.469883889804</v>
      </c>
      <c r="I129" s="160">
        <f>+'[1]10.PRECIO DEL VINO DE TRASLADO'!AC524</f>
        <v>76926.910194416356</v>
      </c>
      <c r="J129" s="160">
        <f>+'[1]10.PRECIO DEL VINO DE TRASLADO'!AC536</f>
        <v>48855.834098731924</v>
      </c>
      <c r="K129" s="166">
        <f>+'[2]10.PRECIO DEL VINO DE TRASLADO'!AC548</f>
        <v>36648.557254979649</v>
      </c>
      <c r="L129" s="91">
        <f>+K129/J129-1</f>
        <v>-0.24986323678524858</v>
      </c>
      <c r="M129" s="2"/>
      <c r="N129" s="89" t="s">
        <v>1</v>
      </c>
      <c r="O129" s="166">
        <f>+AVERAGE('[1]10.PRECIO DEL VINO DE TRASLADO'!AC429:AC440)</f>
        <v>32948.566346422645</v>
      </c>
      <c r="P129" s="160">
        <f>+(SUM(C126:C129)+SUM(B130:B137))/12</f>
        <v>57311.530224479146</v>
      </c>
      <c r="Q129" s="160">
        <f t="shared" ref="Q129" si="378">+(SUM(D126:D129)+SUM(C130:C137))/12</f>
        <v>64589.450911345215</v>
      </c>
      <c r="R129" s="160">
        <f>+(SUM(E126:E129)+SUM(D130:D137))/12</f>
        <v>39566.938831982909</v>
      </c>
      <c r="S129" s="160">
        <f>+(SUM(F126:F129)+SUM(E130:E137))/12</f>
        <v>26840.627165320737</v>
      </c>
      <c r="T129" s="160">
        <f>+(SUM(G126:G129)+SUM(F130:F137))/12</f>
        <v>40159.547786398187</v>
      </c>
      <c r="U129" s="160">
        <f>+(SUM(H126:H129)+SUM(G130:G137))/12</f>
        <v>55638.096223304274</v>
      </c>
      <c r="V129" s="160">
        <f t="shared" ref="V129" si="379">+(SUM(I126:I129)+SUM(H130:H137))/12</f>
        <v>64101.101057451066</v>
      </c>
      <c r="W129" s="167">
        <f t="shared" ref="W129" si="380">+(SUM(J126:J129)+SUM(I130:I137))/12</f>
        <v>57928.405119298746</v>
      </c>
      <c r="X129" s="168">
        <f t="shared" ref="X129" si="381">+(SUM(K126:K129)+SUM(J130:J137))/12</f>
        <v>41727.349425255663</v>
      </c>
      <c r="Y129" s="117">
        <f>+X129/W129-1</f>
        <v>-0.27967377421626494</v>
      </c>
      <c r="Z129" s="113">
        <f>+POWER(X129/S129,0.2)-1</f>
        <v>9.2258989788770673E-2</v>
      </c>
    </row>
    <row r="130" spans="1:26" x14ac:dyDescent="0.25">
      <c r="A130" s="89" t="s">
        <v>2</v>
      </c>
      <c r="B130" s="166">
        <f>+'[1]10.PRECIO DEL VINO DE TRASLADO'!AC441</f>
        <v>46664.998004440255</v>
      </c>
      <c r="C130" s="160">
        <f>+'[1]10.PRECIO DEL VINO DE TRASLADO'!AC453</f>
        <v>63390.380423393923</v>
      </c>
      <c r="D130" s="160">
        <f>+'[1]10.PRECIO DEL VINO DE TRASLADO'!AC465</f>
        <v>48125.513060119243</v>
      </c>
      <c r="E130" s="160">
        <f>+'[1]10.PRECIO DEL VINO DE TRASLADO'!AC477</f>
        <v>24859.932831842929</v>
      </c>
      <c r="F130" s="160">
        <f>+'[1]10.PRECIO DEL VINO DE TRASLADO'!AC489</f>
        <v>30964.279696718066</v>
      </c>
      <c r="G130" s="160">
        <f>+'[1]10.PRECIO DEL VINO DE TRASLADO'!AC501</f>
        <v>61486.076461197401</v>
      </c>
      <c r="H130" s="160">
        <f>+'[1]10.PRECIO DEL VINO DE TRASLADO'!AC513</f>
        <v>61135.606303963446</v>
      </c>
      <c r="I130" s="160">
        <f>+'[1]10.PRECIO DEL VINO DE TRASLADO'!AC525</f>
        <v>76349.759816133985</v>
      </c>
      <c r="J130" s="160">
        <f>+'[1]10.PRECIO DEL VINO DE TRASLADO'!AC537</f>
        <v>48330.130688445206</v>
      </c>
      <c r="K130" s="166"/>
      <c r="L130" s="91"/>
      <c r="M130" s="2"/>
      <c r="N130" s="89" t="s">
        <v>2</v>
      </c>
      <c r="O130" s="166">
        <f>+AVERAGE('[1]10.PRECIO DEL VINO DE TRASLADO'!AC430:AC441)</f>
        <v>34265.498961064681</v>
      </c>
      <c r="P130" s="160">
        <f>+(SUM(C126:C130)+SUM(B131:B137))/12</f>
        <v>58705.312092725282</v>
      </c>
      <c r="Q130" s="160">
        <f t="shared" ref="Q130" si="382">+(SUM(D126:D130)+SUM(C131:C137))/12</f>
        <v>63317.378631072323</v>
      </c>
      <c r="R130" s="160">
        <f>+(SUM(E126:E130)+SUM(D131:D137))/12</f>
        <v>37628.140479626549</v>
      </c>
      <c r="S130" s="160">
        <f>+(SUM(F126:F130)+SUM(E131:E137))/12</f>
        <v>27349.322737393668</v>
      </c>
      <c r="T130" s="160">
        <f>+(SUM(G126:G130)+SUM(F131:F137))/12</f>
        <v>42703.030850104806</v>
      </c>
      <c r="U130" s="160">
        <f>+(SUM(H126:H130)+SUM(G131:G137))/12</f>
        <v>55608.890376868112</v>
      </c>
      <c r="V130" s="160">
        <f t="shared" ref="V130" si="383">+(SUM(I126:I130)+SUM(H131:H137))/12</f>
        <v>65368.947183465272</v>
      </c>
      <c r="W130" s="167">
        <f t="shared" ref="W130" si="384">+(SUM(J126:J130)+SUM(I131:I137))/12</f>
        <v>55593.436025324685</v>
      </c>
      <c r="X130" s="168"/>
      <c r="Y130" s="117"/>
      <c r="Z130" s="113"/>
    </row>
    <row r="131" spans="1:26" x14ac:dyDescent="0.25">
      <c r="A131" s="89" t="s">
        <v>3</v>
      </c>
      <c r="B131" s="166">
        <f>+'[1]10.PRECIO DEL VINO DE TRASLADO'!AC442</f>
        <v>49947.717636042536</v>
      </c>
      <c r="C131" s="160">
        <f>+'[1]10.PRECIO DEL VINO DE TRASLADO'!AC454</f>
        <v>70833.320962828686</v>
      </c>
      <c r="D131" s="160">
        <f>+'[1]10.PRECIO DEL VINO DE TRASLADO'!AC466</f>
        <v>51388.627663475578</v>
      </c>
      <c r="E131" s="160">
        <f>+'[1]10.PRECIO DEL VINO DE TRASLADO'!AC478</f>
        <v>30783.136527590497</v>
      </c>
      <c r="F131" s="160">
        <f>+'[1]10.PRECIO DEL VINO DE TRASLADO'!AC490</f>
        <v>32787.520319768861</v>
      </c>
      <c r="G131" s="160">
        <f>+'[1]10.PRECIO DEL VINO DE TRASLADO'!AC502</f>
        <v>56636.467828734043</v>
      </c>
      <c r="H131" s="160">
        <f>+'[1]10.PRECIO DEL VINO DE TRASLADO'!AC514</f>
        <v>65983.39366240942</v>
      </c>
      <c r="I131" s="160">
        <f>+'[1]10.PRECIO DEL VINO DE TRASLADO'!AC526</f>
        <v>67512.435754685692</v>
      </c>
      <c r="J131" s="160">
        <f>+'[1]10.PRECIO DEL VINO DE TRASLADO'!AC538</f>
        <v>48903.086218147109</v>
      </c>
      <c r="K131" s="166"/>
      <c r="L131" s="91"/>
      <c r="M131" s="2"/>
      <c r="N131" s="89" t="s">
        <v>3</v>
      </c>
      <c r="O131" s="166">
        <f>+AVERAGE('[1]10.PRECIO DEL VINO DE TRASLADO'!AC431:AC442)</f>
        <v>35360.977099154952</v>
      </c>
      <c r="P131" s="160">
        <f>+(SUM(C126:C131)+SUM(B132:B137))/12</f>
        <v>60445.779036624132</v>
      </c>
      <c r="Q131" s="160">
        <f t="shared" ref="Q131" si="385">+(SUM(D126:D131)+SUM(C132:C137))/12</f>
        <v>61696.987522792908</v>
      </c>
      <c r="R131" s="160">
        <f>+(SUM(E126:E131)+SUM(D132:D137))/12</f>
        <v>35911.016218302793</v>
      </c>
      <c r="S131" s="160">
        <f>+(SUM(F126:F131)+SUM(E132:E137))/12</f>
        <v>27516.354720075196</v>
      </c>
      <c r="T131" s="160">
        <f>+(SUM(G126:G131)+SUM(F132:F137))/12</f>
        <v>44690.443142518568</v>
      </c>
      <c r="U131" s="160">
        <f>+(SUM(H126:H131)+SUM(G132:G137))/12</f>
        <v>56387.800863007724</v>
      </c>
      <c r="V131" s="160">
        <f t="shared" ref="V131" si="386">+(SUM(I126:I131)+SUM(H132:H137))/12</f>
        <v>65496.367357821633</v>
      </c>
      <c r="W131" s="161">
        <f t="shared" ref="W131" si="387">+(SUM(J126:J131)+SUM(I132:I137))/12</f>
        <v>54042.656897279805</v>
      </c>
      <c r="X131" s="162"/>
      <c r="Y131" s="78"/>
      <c r="Z131" s="7"/>
    </row>
    <row r="132" spans="1:26" x14ac:dyDescent="0.25">
      <c r="A132" s="89" t="s">
        <v>4</v>
      </c>
      <c r="B132" s="166">
        <f>+'[1]10.PRECIO DEL VINO DE TRASLADO'!AC443</f>
        <v>46373.454813566248</v>
      </c>
      <c r="C132" s="160">
        <f>+'[1]10.PRECIO DEL VINO DE TRASLADO'!AC455</f>
        <v>61803.800015382534</v>
      </c>
      <c r="D132" s="160">
        <f>+'[1]10.PRECIO DEL VINO DE TRASLADO'!AC467</f>
        <v>49169.072937096193</v>
      </c>
      <c r="E132" s="160">
        <f>+'[1]10.PRECIO DEL VINO DE TRASLADO'!AC479</f>
        <v>29936.009503350873</v>
      </c>
      <c r="F132" s="160">
        <f>+'[1]10.PRECIO DEL VINO DE TRASLADO'!AC491</f>
        <v>32306.148072798613</v>
      </c>
      <c r="G132" s="160">
        <f>+'[1]10.PRECIO DEL VINO DE TRASLADO'!AC503</f>
        <v>59405.484639463924</v>
      </c>
      <c r="H132" s="160">
        <f>+'[1]10.PRECIO DEL VINO DE TRASLADO'!AC515</f>
        <v>59781.57705425848</v>
      </c>
      <c r="I132" s="160">
        <f>+'[1]10.PRECIO DEL VINO DE TRASLADO'!AC527</f>
        <v>65734.690642641552</v>
      </c>
      <c r="J132" s="160">
        <f>+'[1]10.PRECIO DEL VINO DE TRASLADO'!AC539</f>
        <v>45403.263545338334</v>
      </c>
      <c r="K132" s="166"/>
      <c r="L132" s="91"/>
      <c r="M132" s="2"/>
      <c r="N132" s="89" t="s">
        <v>4</v>
      </c>
      <c r="O132" s="166">
        <f>+AVERAGE('[1]10.PRECIO DEL VINO DE TRASLADO'!AC432:AC443)</f>
        <v>36299.328636496495</v>
      </c>
      <c r="P132" s="160">
        <f>+(SUM(C126:C132)+SUM(B133:B137))/12</f>
        <v>61731.641136775492</v>
      </c>
      <c r="Q132" s="160">
        <f t="shared" ref="Q132" si="388">+(SUM(D126:D132)+SUM(C133:C137))/12</f>
        <v>60644.093599602369</v>
      </c>
      <c r="R132" s="160">
        <f>+(SUM(E126:E132)+SUM(D133:D137))/12</f>
        <v>34308.260932157347</v>
      </c>
      <c r="S132" s="160">
        <f>+(SUM(F126:F132)+SUM(E133:E137))/12</f>
        <v>27713.866267529174</v>
      </c>
      <c r="T132" s="160">
        <f>+(SUM(G126:G132)+SUM(F133:F137))/12</f>
        <v>46948.721189740674</v>
      </c>
      <c r="U132" s="160">
        <f>+(SUM(H126:H132)+SUM(G133:G137))/12</f>
        <v>56419.141897573929</v>
      </c>
      <c r="V132" s="160">
        <f t="shared" ref="V132" si="389">+(SUM(I126:I132)+SUM(H133:H137))/12</f>
        <v>65992.460156853558</v>
      </c>
      <c r="W132" s="167">
        <f t="shared" ref="W132" si="390">+(SUM(J126:J132)+SUM(I133:I137))/12</f>
        <v>52348.371305837878</v>
      </c>
      <c r="X132" s="168"/>
      <c r="Y132" s="117"/>
      <c r="Z132" s="113"/>
    </row>
    <row r="133" spans="1:26" x14ac:dyDescent="0.25">
      <c r="A133" s="89" t="s">
        <v>5</v>
      </c>
      <c r="B133" s="166">
        <f>+'[1]10.PRECIO DEL VINO DE TRASLADO'!AC444</f>
        <v>50222.676935527255</v>
      </c>
      <c r="C133" s="160">
        <f>+'[1]10.PRECIO DEL VINO DE TRASLADO'!AC456</f>
        <v>68934.335999511604</v>
      </c>
      <c r="D133" s="160">
        <f>+'[1]10.PRECIO DEL VINO DE TRASLADO'!AC468</f>
        <v>45258.780916078067</v>
      </c>
      <c r="E133" s="160">
        <f>+'[1]10.PRECIO DEL VINO DE TRASLADO'!AC480</f>
        <v>28285.792960325001</v>
      </c>
      <c r="F133" s="160">
        <f>+'[1]10.PRECIO DEL VINO DE TRASLADO'!AC492</f>
        <v>35656.630278271921</v>
      </c>
      <c r="G133" s="160">
        <f>+'[1]10.PRECIO DEL VINO DE TRASLADO'!AC504</f>
        <v>58772.399303395629</v>
      </c>
      <c r="H133" s="160">
        <f>+'[1]10.PRECIO DEL VINO DE TRASLADO'!AC516</f>
        <v>61531.718980060134</v>
      </c>
      <c r="I133" s="160">
        <f>+'[1]10.PRECIO DEL VINO DE TRASLADO'!AC528</f>
        <v>58167.778942026373</v>
      </c>
      <c r="J133" s="160">
        <f>+'[1]10.PRECIO DEL VINO DE TRASLADO'!AC540</f>
        <v>46358.700291233734</v>
      </c>
      <c r="K133" s="166"/>
      <c r="L133" s="91"/>
      <c r="M133" s="2"/>
      <c r="N133" s="89" t="s">
        <v>5</v>
      </c>
      <c r="O133" s="166">
        <f>+AVERAGE('[1]10.PRECIO DEL VINO DE TRASLADO'!AC433:AC444)</f>
        <v>37733.619562874737</v>
      </c>
      <c r="P133" s="160">
        <f>+(SUM(C126:C133)+SUM(B134:B137))/12</f>
        <v>63290.946058774192</v>
      </c>
      <c r="Q133" s="160">
        <f t="shared" ref="Q133" si="391">+(SUM(D126:D133)+SUM(C134:C137))/12</f>
        <v>58671.130675982917</v>
      </c>
      <c r="R133" s="160">
        <f>+(SUM(E126:E133)+SUM(D134:D137))/12</f>
        <v>32893.845269177924</v>
      </c>
      <c r="S133" s="160">
        <f>+(SUM(F126:F133)+SUM(E134:E137))/12</f>
        <v>28328.102710691415</v>
      </c>
      <c r="T133" s="160">
        <f>+(SUM(G126:G133)+SUM(F134:F137))/12</f>
        <v>48875.035275167662</v>
      </c>
      <c r="U133" s="160">
        <f>+(SUM(H126:H133)+SUM(G134:G137))/12</f>
        <v>56649.085203962641</v>
      </c>
      <c r="V133" s="160">
        <f t="shared" ref="V133" si="392">+(SUM(I126:I133)+SUM(H134:H137))/12</f>
        <v>65712.131820350754</v>
      </c>
      <c r="W133" s="167">
        <f t="shared" ref="W133" si="393">+(SUM(J126:J133)+SUM(I134:I137))/12</f>
        <v>51364.281418271821</v>
      </c>
      <c r="X133" s="168"/>
      <c r="Y133" s="117"/>
      <c r="Z133" s="113"/>
    </row>
    <row r="134" spans="1:26" x14ac:dyDescent="0.25">
      <c r="A134" s="89" t="s">
        <v>6</v>
      </c>
      <c r="B134" s="166">
        <f>+'[1]10.PRECIO DEL VINO DE TRASLADO'!AC445</f>
        <v>51161.777696128003</v>
      </c>
      <c r="C134" s="160">
        <f>+'[1]10.PRECIO DEL VINO DE TRASLADO'!AC457</f>
        <v>66003.118636744242</v>
      </c>
      <c r="D134" s="160">
        <f>+'[1]10.PRECIO DEL VINO DE TRASLADO'!AC469</f>
        <v>42135.221881583071</v>
      </c>
      <c r="E134" s="160">
        <f>+'[1]10.PRECIO DEL VINO DE TRASLADO'!AC481</f>
        <v>25188.743542863049</v>
      </c>
      <c r="F134" s="160">
        <f>+'[1]10.PRECIO DEL VINO DE TRASLADO'!AC493</f>
        <v>33547.159763889576</v>
      </c>
      <c r="G134" s="160">
        <f>+'[1]10.PRECIO DEL VINO DE TRASLADO'!AC505</f>
        <v>53990.072273831487</v>
      </c>
      <c r="H134" s="160">
        <f>+'[1]10.PRECIO DEL VINO DE TRASLADO'!AC517</f>
        <v>59649.42264386444</v>
      </c>
      <c r="I134" s="160">
        <f>+'[1]10.PRECIO DEL VINO DE TRASLADO'!AC529</f>
        <v>61461.682408901805</v>
      </c>
      <c r="J134" s="160">
        <f>+'[1]10.PRECIO DEL VINO DE TRASLADO'!AC541</f>
        <v>40143.073493452794</v>
      </c>
      <c r="K134" s="166"/>
      <c r="L134" s="91"/>
      <c r="M134" s="2"/>
      <c r="N134" s="89" t="s">
        <v>6</v>
      </c>
      <c r="O134" s="166">
        <f>+AVERAGE('[1]10.PRECIO DEL VINO DE TRASLADO'!AC434:AC445)</f>
        <v>39414.407905397376</v>
      </c>
      <c r="P134" s="160">
        <f>+(SUM(C126:C134)+SUM(B135:B137))/12</f>
        <v>64527.724470492198</v>
      </c>
      <c r="Q134" s="160">
        <f t="shared" ref="Q134" si="394">+(SUM(D126:D134)+SUM(C135:C137))/12</f>
        <v>56682.139279719479</v>
      </c>
      <c r="R134" s="160">
        <f>+(SUM(E126:E134)+SUM(D135:D137))/12</f>
        <v>31481.638740951254</v>
      </c>
      <c r="S134" s="160">
        <f>+(SUM(F126:F134)+SUM(E135:E137))/12</f>
        <v>29024.637395776965</v>
      </c>
      <c r="T134" s="160">
        <f>+(SUM(G126:G134)+SUM(F135:F137))/12</f>
        <v>50578.611317662813</v>
      </c>
      <c r="U134" s="160">
        <f>+(SUM(H126:H134)+SUM(G135:G137))/12</f>
        <v>57120.697734798719</v>
      </c>
      <c r="V134" s="160">
        <f t="shared" ref="V134" si="395">+(SUM(I126:I134)+SUM(H135:H137))/12</f>
        <v>65863.153467437194</v>
      </c>
      <c r="W134" s="167">
        <f t="shared" ref="W134" si="396">+(SUM(J126:J134)+SUM(I135:I137))/12</f>
        <v>49587.730675317733</v>
      </c>
      <c r="X134" s="168"/>
      <c r="Y134" s="117"/>
      <c r="Z134" s="113"/>
    </row>
    <row r="135" spans="1:26" x14ac:dyDescent="0.25">
      <c r="A135" s="89" t="s">
        <v>7</v>
      </c>
      <c r="B135" s="166">
        <f>+'[1]10.PRECIO DEL VINO DE TRASLADO'!AC446</f>
        <v>52218.864617938998</v>
      </c>
      <c r="C135" s="160">
        <f>+'[1]10.PRECIO DEL VINO DE TRASLADO'!AC458</f>
        <v>77526.297383403362</v>
      </c>
      <c r="D135" s="160">
        <f>+'[1]10.PRECIO DEL VINO DE TRASLADO'!AC470</f>
        <v>40745.044904731192</v>
      </c>
      <c r="E135" s="160">
        <f>+'[1]10.PRECIO DEL VINO DE TRASLADO'!AC482</f>
        <v>28250.176358684512</v>
      </c>
      <c r="F135" s="160">
        <f>+'[1]10.PRECIO DEL VINO DE TRASLADO'!AC494</f>
        <v>36339.006653134449</v>
      </c>
      <c r="G135" s="160">
        <f>+'[1]10.PRECIO DEL VINO DE TRASLADO'!AC506</f>
        <v>55510.218864353788</v>
      </c>
      <c r="H135" s="160">
        <f>+'[1]10.PRECIO DEL VINO DE TRASLADO'!AC518</f>
        <v>56137.72282742463</v>
      </c>
      <c r="I135" s="160">
        <f>+'[1]10.PRECIO DEL VINO DE TRASLADO'!AC530</f>
        <v>55085.297190463411</v>
      </c>
      <c r="J135" s="160">
        <f>+'[1]10.PRECIO DEL VINO DE TRASLADO'!AC542</f>
        <v>42267.489372159995</v>
      </c>
      <c r="K135" s="166"/>
      <c r="L135" s="91"/>
      <c r="M135" s="2"/>
      <c r="N135" s="89" t="s">
        <v>7</v>
      </c>
      <c r="O135" s="166">
        <f>+AVERAGE('[1]10.PRECIO DEL VINO DE TRASLADO'!AC435:AC446)</f>
        <v>41006.088550648485</v>
      </c>
      <c r="P135" s="160">
        <f>+(SUM(C126:C135)+SUM(B136:B137))/12</f>
        <v>66636.677200947583</v>
      </c>
      <c r="Q135" s="160">
        <f t="shared" ref="Q135" si="397">+(SUM(D126:D135)+SUM(C136:C137))/12</f>
        <v>53617.034906496796</v>
      </c>
      <c r="R135" s="160">
        <f>+(SUM(E126:E135)+SUM(D136:D137))/12</f>
        <v>30440.399695447366</v>
      </c>
      <c r="S135" s="160">
        <f>+(SUM(F126:F135)+SUM(E136:E137))/12</f>
        <v>29698.706586981119</v>
      </c>
      <c r="T135" s="160">
        <f>+(SUM(G126:G135)+SUM(F136:F137))/12</f>
        <v>52176.212335264427</v>
      </c>
      <c r="U135" s="160">
        <f>+(SUM(H126:H135)+SUM(G136:G137))/12</f>
        <v>57172.989731721289</v>
      </c>
      <c r="V135" s="160">
        <f t="shared" ref="V135" si="398">+(SUM(I126:I135)+SUM(H136:H137))/12</f>
        <v>65775.451331023753</v>
      </c>
      <c r="W135" s="167">
        <f t="shared" ref="W135" si="399">+(SUM(J126:J135)+SUM(I136:I137))/12</f>
        <v>48519.580023792449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66324.766730208445</v>
      </c>
      <c r="C136" s="160">
        <f>+'[1]10.PRECIO DEL VINO DE TRASLADO'!AC459</f>
        <v>79062.137399520769</v>
      </c>
      <c r="D136" s="160">
        <f>+'[1]10.PRECIO DEL VINO DE TRASLADO'!AC471</f>
        <v>37553.697052976044</v>
      </c>
      <c r="E136" s="160">
        <f>+'[1]10.PRECIO DEL VINO DE TRASLADO'!AC483</f>
        <v>25519.032477834826</v>
      </c>
      <c r="F136" s="160">
        <f>+'[1]10.PRECIO DEL VINO DE TRASLADO'!AC495</f>
        <v>39617.172968111612</v>
      </c>
      <c r="G136" s="160">
        <f>+'[1]10.PRECIO DEL VINO DE TRASLADO'!AC507</f>
        <v>48317.541280132413</v>
      </c>
      <c r="H136" s="160">
        <f>+'[1]10.PRECIO DEL VINO DE TRASLADO'!AC519</f>
        <v>54580.126109196586</v>
      </c>
      <c r="I136" s="160">
        <f>+'[1]10.PRECIO DEL VINO DE TRASLADO'!AC531</f>
        <v>50779.456284273772</v>
      </c>
      <c r="J136" s="160">
        <f>+'[1]10.PRECIO DEL VINO DE TRASLADO'!AC543</f>
        <v>39120.80236999999</v>
      </c>
      <c r="K136" s="166"/>
      <c r="L136" s="91"/>
      <c r="M136" s="2"/>
      <c r="N136" s="89" t="s">
        <v>8</v>
      </c>
      <c r="O136" s="166">
        <f>+AVERAGE('[1]10.PRECIO DEL VINO DE TRASLADO'!AC436:AC447)</f>
        <v>43947.988563224957</v>
      </c>
      <c r="P136" s="160">
        <f>+(SUM(C126:C136)+SUM(B137))/12</f>
        <v>67698.124756723599</v>
      </c>
      <c r="Q136" s="160">
        <f t="shared" ref="Q136" si="400">+(SUM(D126:D136)+SUM(C137))/12</f>
        <v>50157.998210951402</v>
      </c>
      <c r="R136" s="160">
        <f>+(SUM(E126:E136)+SUM(D137))/12</f>
        <v>29437.510980852265</v>
      </c>
      <c r="S136" s="160">
        <f>+(SUM(F126:F136)+SUM(E137))/12</f>
        <v>30873.551627837514</v>
      </c>
      <c r="T136" s="160">
        <f>+(SUM(G126:G136)+SUM(F137))/12</f>
        <v>52901.243027932825</v>
      </c>
      <c r="U136" s="160">
        <f>+(SUM(H126:H136)+SUM(G137))/12</f>
        <v>57694.871800809975</v>
      </c>
      <c r="V136" s="160">
        <f t="shared" ref="V136" si="401">+(SUM(I126:I136)+SUM(H137))/12</f>
        <v>65458.728845613521</v>
      </c>
      <c r="W136" s="167">
        <f t="shared" ref="W136" si="402">+(SUM(J126:J136)+SUM(I137))/12</f>
        <v>47548.025530936306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67968.318822133617</v>
      </c>
      <c r="C137" s="160">
        <f>+'[1]10.PRECIO DEL VINO DE TRASLADO'!AC460</f>
        <v>64078.187819866536</v>
      </c>
      <c r="D137" s="160">
        <f>+'[1]10.PRECIO DEL VINO DE TRASLADO'!AC472</f>
        <v>34423.601510071523</v>
      </c>
      <c r="E137" s="160">
        <f>+'[1]10.PRECIO DEL VINO DE TRASLADO'!AC484</f>
        <v>23582.686295226649</v>
      </c>
      <c r="F137" s="160">
        <f>+'[1]10.PRECIO DEL VINO DE TRASLADO'!AC496</f>
        <v>40807.101044506715</v>
      </c>
      <c r="G137" s="160">
        <f>+'[1]10.PRECIO DEL VINO DE TRASLADO'!AC508</f>
        <v>47685.124712898854</v>
      </c>
      <c r="H137" s="160">
        <f>+'[1]10.PRECIO DEL VINO DE TRASLADO'!AC520</f>
        <v>59174.839125217695</v>
      </c>
      <c r="I137" s="160">
        <f>+'[1]10.PRECIO DEL VINO DE TRASLADO'!AC532</f>
        <v>47126.567180208949</v>
      </c>
      <c r="J137" s="160">
        <f>+'[2]10.PRECIO DEL VINO DE TRASLADO'!AC544</f>
        <v>37528.51</v>
      </c>
      <c r="K137" s="166"/>
      <c r="L137" s="91"/>
      <c r="M137" s="2"/>
      <c r="N137" s="89" t="s">
        <v>9</v>
      </c>
      <c r="O137" s="166">
        <f>+AVERAGE('[1]10.PRECIO DEL VINO DE TRASLADO'!AC437:AC448)</f>
        <v>47066.110214673645</v>
      </c>
      <c r="P137" s="160">
        <f>+(SUM(C126:C137))/12</f>
        <v>67373.947173201348</v>
      </c>
      <c r="Q137" s="160">
        <f t="shared" ref="Q137" si="403">+(SUM(D126:D137))/12</f>
        <v>47686.782685135149</v>
      </c>
      <c r="R137" s="160">
        <f>+(SUM(E126:E137))/12</f>
        <v>28534.101379615186</v>
      </c>
      <c r="S137" s="160">
        <f>+(SUM(F126:F137))/12</f>
        <v>32308.919523610854</v>
      </c>
      <c r="T137" s="160">
        <f>+(SUM(G126:G137))/12</f>
        <v>53474.411666965498</v>
      </c>
      <c r="U137" s="160">
        <f>+(SUM(H126:H137))/12</f>
        <v>58652.348001836544</v>
      </c>
      <c r="V137" s="160">
        <f t="shared" ref="V137" si="404">+(SUM(I126:I137))/12</f>
        <v>64454.706183529459</v>
      </c>
      <c r="W137" s="167">
        <f t="shared" ref="W137" si="405">+(SUM(J126:J137))/12</f>
        <v>46748.187432585553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47066.110214673645</v>
      </c>
      <c r="C138" s="170">
        <f t="shared" ref="C138:I138" si="406">AVERAGE(C126:C137)</f>
        <v>67373.947173201348</v>
      </c>
      <c r="D138" s="170">
        <f t="shared" si="406"/>
        <v>47686.782685135149</v>
      </c>
      <c r="E138" s="170">
        <f t="shared" si="406"/>
        <v>28534.101379615186</v>
      </c>
      <c r="F138" s="170">
        <f t="shared" si="406"/>
        <v>32308.919523610854</v>
      </c>
      <c r="G138" s="170">
        <f t="shared" si="406"/>
        <v>53474.411666965498</v>
      </c>
      <c r="H138" s="170">
        <f t="shared" si="406"/>
        <v>58652.348001836544</v>
      </c>
      <c r="I138" s="170">
        <f t="shared" si="406"/>
        <v>64454.706183529459</v>
      </c>
      <c r="J138" s="170">
        <f t="shared" ref="J138" si="407">AVERAGE(J126:J137)</f>
        <v>46748.187432585553</v>
      </c>
      <c r="K138" s="169"/>
      <c r="L138" s="174"/>
      <c r="M138" s="3"/>
      <c r="N138" s="92" t="s">
        <v>14</v>
      </c>
      <c r="O138" s="169">
        <f t="shared" ref="O138" si="408">+AVERAGE(O126:O137)</f>
        <v>37189.027526988844</v>
      </c>
      <c r="P138" s="170">
        <f>+AVERAGE(P126:P137)</f>
        <v>60561.108040356085</v>
      </c>
      <c r="Q138" s="170">
        <f t="shared" ref="Q138:X138" si="409">+AVERAGE(Q126:Q137)</f>
        <v>59527.5604921798</v>
      </c>
      <c r="R138" s="170">
        <f t="shared" si="409"/>
        <v>36008.738249600246</v>
      </c>
      <c r="S138" s="170">
        <f t="shared" si="409"/>
        <v>28329.338467752863</v>
      </c>
      <c r="T138" s="170">
        <f t="shared" si="409"/>
        <v>44959.108165319187</v>
      </c>
      <c r="U138" s="170">
        <f t="shared" si="409"/>
        <v>56281.342972842096</v>
      </c>
      <c r="V138" s="170">
        <f t="shared" si="409"/>
        <v>64440.458399655407</v>
      </c>
      <c r="W138" s="171">
        <f t="shared" si="409"/>
        <v>54137.229779391862</v>
      </c>
      <c r="X138" s="172">
        <f t="shared" si="409"/>
        <v>43522.900847679703</v>
      </c>
      <c r="Y138" s="119">
        <f>+W138/V138-1</f>
        <v>-0.15988757492014738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0.43147472493268402</v>
      </c>
      <c r="D139" s="85">
        <f t="shared" ref="D139:F139" si="410">+D138/C138-1</f>
        <v>-0.29220737857996482</v>
      </c>
      <c r="E139" s="85">
        <f t="shared" si="410"/>
        <v>-0.4016350071670951</v>
      </c>
      <c r="F139" s="85">
        <f t="shared" si="410"/>
        <v>0.13229146745418108</v>
      </c>
      <c r="G139" s="85">
        <f>+G138/F138-1</f>
        <v>0.6550974918207102</v>
      </c>
      <c r="H139" s="85">
        <f>+H138/G138-1</f>
        <v>9.6830169298894431E-2</v>
      </c>
      <c r="I139" s="85">
        <f t="shared" ref="I139:J139" si="411">+I138/H138-1</f>
        <v>9.892797781107121E-2</v>
      </c>
      <c r="J139" s="85">
        <f t="shared" si="411"/>
        <v>-0.2747125818947348</v>
      </c>
      <c r="K139" s="198"/>
      <c r="L139" s="101"/>
      <c r="M139" s="2"/>
      <c r="N139" s="98" t="s">
        <v>12</v>
      </c>
      <c r="O139" s="110"/>
      <c r="P139" s="85">
        <f>+P138/O138-1</f>
        <v>0.62846710622926727</v>
      </c>
      <c r="Q139" s="85">
        <f t="shared" ref="Q139:S139" si="412">+Q138/P138-1</f>
        <v>-1.7066192835962668E-2</v>
      </c>
      <c r="R139" s="85">
        <f t="shared" si="412"/>
        <v>-0.39509131649480655</v>
      </c>
      <c r="S139" s="85">
        <f t="shared" si="412"/>
        <v>-0.21326489499899759</v>
      </c>
      <c r="T139" s="85">
        <f>+T138/S138-1</f>
        <v>0.58701581459432606</v>
      </c>
      <c r="U139" s="85">
        <f>+U138/T138-1</f>
        <v>0.25183406142955289</v>
      </c>
      <c r="V139" s="85">
        <f>+V138/U138-1</f>
        <v>0.14497016232804527</v>
      </c>
      <c r="W139" s="111">
        <f t="shared" ref="W139" si="413">+W138/V138-1</f>
        <v>-0.15988757492014738</v>
      </c>
      <c r="X139" s="100">
        <f t="shared" ref="X139" si="414">+X138/W138-1</f>
        <v>-0.19606339251131499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22" t="str">
        <f>+A73</f>
        <v>TINTO FINANCIADO - Pesos Diciembre 2024/Hl</v>
      </c>
      <c r="B143" s="323"/>
      <c r="C143" s="323"/>
      <c r="D143" s="323"/>
      <c r="E143" s="323"/>
      <c r="F143" s="323"/>
      <c r="G143" s="323"/>
      <c r="H143" s="323"/>
      <c r="I143" s="323"/>
      <c r="J143" s="323"/>
      <c r="K143" s="324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415">+C144+1</f>
        <v>2018</v>
      </c>
      <c r="E144" s="260">
        <f t="shared" si="415"/>
        <v>2019</v>
      </c>
      <c r="F144" s="260">
        <f t="shared" si="415"/>
        <v>2020</v>
      </c>
      <c r="G144" s="260">
        <f t="shared" si="415"/>
        <v>2021</v>
      </c>
      <c r="H144" s="260">
        <f t="shared" si="415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37715.639083148941</v>
      </c>
      <c r="C145" s="160">
        <f t="shared" ref="C145:K145" si="416">+AVERAGE(C75:C77)</f>
        <v>86543.770295580471</v>
      </c>
      <c r="D145" s="160">
        <f t="shared" si="416"/>
        <v>66548.994291544062</v>
      </c>
      <c r="E145" s="160">
        <f t="shared" si="416"/>
        <v>37052.444795538693</v>
      </c>
      <c r="F145" s="160">
        <f t="shared" si="416"/>
        <v>25979.89842787958</v>
      </c>
      <c r="G145" s="160">
        <f t="shared" si="416"/>
        <v>46581.470111622904</v>
      </c>
      <c r="H145" s="160">
        <f t="shared" si="416"/>
        <v>57484.20276040458</v>
      </c>
      <c r="I145" s="160">
        <f t="shared" si="416"/>
        <v>84023.814124777986</v>
      </c>
      <c r="J145" s="161">
        <f t="shared" si="416"/>
        <v>63904.969615317474</v>
      </c>
      <c r="K145" s="276">
        <f t="shared" si="416"/>
        <v>42494.811625020237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23" x14ac:dyDescent="0.25">
      <c r="A147" s="264" t="s">
        <v>301</v>
      </c>
      <c r="B147" s="193"/>
      <c r="C147" s="6"/>
      <c r="D147" s="6"/>
      <c r="E147" s="6"/>
      <c r="F147" s="6"/>
      <c r="G147" s="6"/>
      <c r="H147" s="6"/>
      <c r="I147" s="6"/>
      <c r="J147" s="67"/>
      <c r="K147" s="265"/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194">
        <f t="shared" ref="B149:K149" si="417">SUM(B145:B148)</f>
        <v>37715.639083148941</v>
      </c>
      <c r="C149" s="54">
        <f t="shared" si="417"/>
        <v>86543.770295580471</v>
      </c>
      <c r="D149" s="54">
        <f t="shared" si="417"/>
        <v>66548.994291544062</v>
      </c>
      <c r="E149" s="54">
        <f t="shared" si="417"/>
        <v>37052.444795538693</v>
      </c>
      <c r="F149" s="54">
        <f t="shared" si="417"/>
        <v>25979.89842787958</v>
      </c>
      <c r="G149" s="54">
        <f t="shared" si="417"/>
        <v>46581.470111622904</v>
      </c>
      <c r="H149" s="54">
        <f t="shared" si="417"/>
        <v>57484.20276040458</v>
      </c>
      <c r="I149" s="54">
        <f t="shared" si="417"/>
        <v>84023.814124777986</v>
      </c>
      <c r="J149" s="186">
        <f t="shared" si="417"/>
        <v>63904.969615317474</v>
      </c>
      <c r="K149" s="267">
        <f t="shared" si="417"/>
        <v>42494.811625020237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418">+D145/C145-1</f>
        <v>-0.2310365718496723</v>
      </c>
      <c r="E150" s="257">
        <f t="shared" si="418"/>
        <v>-0.44323058237039803</v>
      </c>
      <c r="F150" s="257">
        <f t="shared" si="418"/>
        <v>-0.29883443396945042</v>
      </c>
      <c r="G150" s="257">
        <f t="shared" si="418"/>
        <v>0.79298122511654401</v>
      </c>
      <c r="H150" s="257">
        <f t="shared" si="418"/>
        <v>0.23405728979045781</v>
      </c>
      <c r="I150" s="257">
        <f t="shared" si="418"/>
        <v>0.461685299437675</v>
      </c>
      <c r="J150" s="258">
        <f t="shared" si="418"/>
        <v>-0.23944217147276126</v>
      </c>
      <c r="K150" s="269">
        <f t="shared" si="418"/>
        <v>-0.3350311895800574</v>
      </c>
    </row>
    <row r="151" spans="1:23" x14ac:dyDescent="0.25">
      <c r="A151" s="268" t="s">
        <v>304</v>
      </c>
      <c r="B151" s="256"/>
      <c r="C151" s="257"/>
      <c r="D151" s="257"/>
      <c r="E151" s="257"/>
      <c r="F151" s="257"/>
      <c r="G151" s="257"/>
      <c r="H151" s="257"/>
      <c r="I151" s="257"/>
      <c r="J151" s="258"/>
      <c r="K151" s="269"/>
    </row>
    <row r="152" spans="1:23" x14ac:dyDescent="0.25">
      <c r="A152" s="268" t="s">
        <v>305</v>
      </c>
      <c r="B152" s="256"/>
      <c r="C152" s="257"/>
      <c r="D152" s="257"/>
      <c r="E152" s="257"/>
      <c r="F152" s="257"/>
      <c r="G152" s="257"/>
      <c r="H152" s="257"/>
      <c r="I152" s="257"/>
      <c r="J152" s="258"/>
      <c r="K152" s="269"/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22" t="str">
        <f>+A90</f>
        <v>ROSADO FINANCIADO - Pesos Diciembre 2024/Hl</v>
      </c>
      <c r="B158" s="323"/>
      <c r="C158" s="323"/>
      <c r="D158" s="323"/>
      <c r="E158" s="323"/>
      <c r="F158" s="323"/>
      <c r="G158" s="323"/>
      <c r="H158" s="323"/>
      <c r="I158" s="323"/>
      <c r="J158" s="323"/>
      <c r="K158" s="324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419">+C159+1</f>
        <v>2018</v>
      </c>
      <c r="E159" s="260">
        <f t="shared" si="419"/>
        <v>2019</v>
      </c>
      <c r="F159" s="260">
        <f t="shared" si="419"/>
        <v>2020</v>
      </c>
      <c r="G159" s="260">
        <f t="shared" si="419"/>
        <v>2021</v>
      </c>
      <c r="H159" s="260">
        <f t="shared" si="419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22334.940321441169</v>
      </c>
      <c r="C160" s="160">
        <f t="shared" ref="C160:K160" si="420">+AVERAGE(C92:C94)</f>
        <v>38526.874988593772</v>
      </c>
      <c r="D160" s="160">
        <f t="shared" si="420"/>
        <v>46553.296422371663</v>
      </c>
      <c r="E160" s="160">
        <f t="shared" si="420"/>
        <v>19753.895089540954</v>
      </c>
      <c r="F160" s="160">
        <f t="shared" si="420"/>
        <v>19221.094140370871</v>
      </c>
      <c r="G160" s="160">
        <f t="shared" si="420"/>
        <v>40183.345013514772</v>
      </c>
      <c r="H160" s="160">
        <f t="shared" si="420"/>
        <v>57750.473350240791</v>
      </c>
      <c r="I160" s="160">
        <f t="shared" si="420"/>
        <v>54443.625674730421</v>
      </c>
      <c r="J160" s="161">
        <f t="shared" si="420"/>
        <v>49393.559797222901</v>
      </c>
      <c r="K160" s="276">
        <f t="shared" si="420"/>
        <v>31223.372092203699</v>
      </c>
    </row>
    <row r="161" spans="1:11" x14ac:dyDescent="0.25">
      <c r="A161" s="264" t="s">
        <v>300</v>
      </c>
      <c r="B161" s="193"/>
      <c r="C161" s="6"/>
      <c r="D161" s="6"/>
      <c r="E161" s="6"/>
      <c r="F161" s="6"/>
      <c r="G161" s="6"/>
      <c r="H161" s="6"/>
      <c r="I161" s="6"/>
      <c r="J161" s="67"/>
      <c r="K161" s="265"/>
    </row>
    <row r="162" spans="1:11" x14ac:dyDescent="0.25">
      <c r="A162" s="264" t="s">
        <v>301</v>
      </c>
      <c r="B162" s="193"/>
      <c r="C162" s="6"/>
      <c r="D162" s="6"/>
      <c r="E162" s="6"/>
      <c r="F162" s="6"/>
      <c r="G162" s="6"/>
      <c r="H162" s="6"/>
      <c r="I162" s="6"/>
      <c r="J162" s="67"/>
      <c r="K162" s="265"/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194">
        <f t="shared" ref="B164:K164" si="421">SUM(B160:B163)</f>
        <v>22334.940321441169</v>
      </c>
      <c r="C164" s="54">
        <f t="shared" si="421"/>
        <v>38526.874988593772</v>
      </c>
      <c r="D164" s="54">
        <f t="shared" si="421"/>
        <v>46553.296422371663</v>
      </c>
      <c r="E164" s="54">
        <f t="shared" si="421"/>
        <v>19753.895089540954</v>
      </c>
      <c r="F164" s="54">
        <f t="shared" si="421"/>
        <v>19221.094140370871</v>
      </c>
      <c r="G164" s="54">
        <f t="shared" si="421"/>
        <v>40183.345013514772</v>
      </c>
      <c r="H164" s="54">
        <f t="shared" si="421"/>
        <v>57750.473350240791</v>
      </c>
      <c r="I164" s="54">
        <f t="shared" si="421"/>
        <v>54443.625674730421</v>
      </c>
      <c r="J164" s="186">
        <f t="shared" si="421"/>
        <v>49393.559797222901</v>
      </c>
      <c r="K164" s="267">
        <f t="shared" si="421"/>
        <v>31223.372092203699</v>
      </c>
    </row>
    <row r="165" spans="1:11" x14ac:dyDescent="0.25">
      <c r="A165" s="268" t="s">
        <v>303</v>
      </c>
      <c r="B165" s="256"/>
      <c r="C165" s="257">
        <f>+C160/B160-1</f>
        <v>0.72495983576050205</v>
      </c>
      <c r="D165" s="257">
        <f t="shared" ref="D165:K165" si="422">+D160/C160-1</f>
        <v>0.20833305156865656</v>
      </c>
      <c r="E165" s="257">
        <f t="shared" si="422"/>
        <v>-0.57567140014497409</v>
      </c>
      <c r="F165" s="257">
        <f t="shared" si="422"/>
        <v>-2.6971943849807278E-2</v>
      </c>
      <c r="G165" s="257">
        <f t="shared" si="422"/>
        <v>1.0905857242078643</v>
      </c>
      <c r="H165" s="257">
        <f t="shared" si="422"/>
        <v>0.43717436492202699</v>
      </c>
      <c r="I165" s="257">
        <f t="shared" si="422"/>
        <v>-5.7260962268746218E-2</v>
      </c>
      <c r="J165" s="258">
        <f t="shared" si="422"/>
        <v>-9.2757706984446298E-2</v>
      </c>
      <c r="K165" s="269">
        <f t="shared" si="422"/>
        <v>-0.3678655229469977</v>
      </c>
    </row>
    <row r="166" spans="1:11" x14ac:dyDescent="0.25">
      <c r="A166" s="268" t="s">
        <v>304</v>
      </c>
      <c r="B166" s="256"/>
      <c r="C166" s="257"/>
      <c r="D166" s="257"/>
      <c r="E166" s="257"/>
      <c r="F166" s="257"/>
      <c r="G166" s="257"/>
      <c r="H166" s="257"/>
      <c r="I166" s="257"/>
      <c r="J166" s="258"/>
      <c r="K166" s="269"/>
    </row>
    <row r="167" spans="1:11" x14ac:dyDescent="0.25">
      <c r="A167" s="268" t="s">
        <v>305</v>
      </c>
      <c r="B167" s="256"/>
      <c r="C167" s="257"/>
      <c r="D167" s="257"/>
      <c r="E167" s="257"/>
      <c r="F167" s="257"/>
      <c r="G167" s="257"/>
      <c r="H167" s="257"/>
      <c r="I167" s="257"/>
      <c r="J167" s="258"/>
      <c r="K167" s="269"/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22" t="str">
        <f>+A107</f>
        <v>BLANCO FINANCIADO - Pesos Diciembre 2024/Hl</v>
      </c>
      <c r="B173" s="323"/>
      <c r="C173" s="323"/>
      <c r="D173" s="323"/>
      <c r="E173" s="323"/>
      <c r="F173" s="323"/>
      <c r="G173" s="323"/>
      <c r="H173" s="323"/>
      <c r="I173" s="323"/>
      <c r="J173" s="323"/>
      <c r="K173" s="324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423">+C174+1</f>
        <v>2018</v>
      </c>
      <c r="E174" s="260">
        <f t="shared" si="423"/>
        <v>2019</v>
      </c>
      <c r="F174" s="260">
        <f t="shared" si="423"/>
        <v>2020</v>
      </c>
      <c r="G174" s="260">
        <f t="shared" si="423"/>
        <v>2021</v>
      </c>
      <c r="H174" s="260">
        <f t="shared" si="423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21152.901974246768</v>
      </c>
      <c r="C175" s="160">
        <f t="shared" ref="C175:K175" si="424">+AVERAGE(C109:C111)</f>
        <v>34056.94114856331</v>
      </c>
      <c r="D175" s="160">
        <f t="shared" si="424"/>
        <v>42899.712322167827</v>
      </c>
      <c r="E175" s="160">
        <f t="shared" si="424"/>
        <v>26875.639038965863</v>
      </c>
      <c r="F175" s="160">
        <f t="shared" si="424"/>
        <v>21062.983848612606</v>
      </c>
      <c r="G175" s="160">
        <f t="shared" si="424"/>
        <v>45559.05305798613</v>
      </c>
      <c r="H175" s="160">
        <f t="shared" si="424"/>
        <v>43774.839644497675</v>
      </c>
      <c r="I175" s="160">
        <f t="shared" si="424"/>
        <v>53101.104494291474</v>
      </c>
      <c r="J175" s="161">
        <f t="shared" si="424"/>
        <v>35298.949257989494</v>
      </c>
      <c r="K175" s="276">
        <f t="shared" si="424"/>
        <v>26141.461794644725</v>
      </c>
    </row>
    <row r="176" spans="1:11" x14ac:dyDescent="0.25">
      <c r="A176" s="264" t="s">
        <v>300</v>
      </c>
      <c r="B176" s="193"/>
      <c r="C176" s="6"/>
      <c r="D176" s="6"/>
      <c r="E176" s="6"/>
      <c r="F176" s="6"/>
      <c r="G176" s="6"/>
      <c r="H176" s="6"/>
      <c r="I176" s="6"/>
      <c r="J176" s="67"/>
      <c r="K176" s="265"/>
    </row>
    <row r="177" spans="1:11" x14ac:dyDescent="0.25">
      <c r="A177" s="264" t="s">
        <v>301</v>
      </c>
      <c r="B177" s="193"/>
      <c r="C177" s="6"/>
      <c r="D177" s="6"/>
      <c r="E177" s="6"/>
      <c r="F177" s="6"/>
      <c r="G177" s="6"/>
      <c r="H177" s="6"/>
      <c r="I177" s="6"/>
      <c r="J177" s="67"/>
      <c r="K177" s="265"/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194">
        <f t="shared" ref="B179:K179" si="425">SUM(B175:B178)</f>
        <v>21152.901974246768</v>
      </c>
      <c r="C179" s="54">
        <f t="shared" si="425"/>
        <v>34056.94114856331</v>
      </c>
      <c r="D179" s="54">
        <f t="shared" si="425"/>
        <v>42899.712322167827</v>
      </c>
      <c r="E179" s="54">
        <f t="shared" si="425"/>
        <v>26875.639038965863</v>
      </c>
      <c r="F179" s="54">
        <f t="shared" si="425"/>
        <v>21062.983848612606</v>
      </c>
      <c r="G179" s="54">
        <f t="shared" si="425"/>
        <v>45559.05305798613</v>
      </c>
      <c r="H179" s="54">
        <f t="shared" si="425"/>
        <v>43774.839644497675</v>
      </c>
      <c r="I179" s="54">
        <f t="shared" si="425"/>
        <v>53101.104494291474</v>
      </c>
      <c r="J179" s="186">
        <f t="shared" si="425"/>
        <v>35298.949257989494</v>
      </c>
      <c r="K179" s="267">
        <f t="shared" si="425"/>
        <v>26141.461794644725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426">+D175/C175-1</f>
        <v>0.25964666453838436</v>
      </c>
      <c r="E180" s="257">
        <f t="shared" si="426"/>
        <v>-0.37352402652177574</v>
      </c>
      <c r="F180" s="257">
        <f t="shared" si="426"/>
        <v>-0.21627970155149545</v>
      </c>
      <c r="G180" s="257">
        <f t="shared" si="426"/>
        <v>1.1629914064140086</v>
      </c>
      <c r="H180" s="257">
        <f t="shared" si="426"/>
        <v>-3.9162653605147701E-2</v>
      </c>
      <c r="I180" s="257">
        <f t="shared" si="426"/>
        <v>0.21305080556625344</v>
      </c>
      <c r="J180" s="258">
        <f t="shared" si="426"/>
        <v>-0.33525018746485324</v>
      </c>
      <c r="K180" s="269">
        <f t="shared" si="426"/>
        <v>-0.25942663041937664</v>
      </c>
    </row>
    <row r="181" spans="1:11" x14ac:dyDescent="0.25">
      <c r="A181" s="268" t="s">
        <v>304</v>
      </c>
      <c r="B181" s="256"/>
      <c r="C181" s="257"/>
      <c r="D181" s="257"/>
      <c r="E181" s="257"/>
      <c r="F181" s="257"/>
      <c r="G181" s="257"/>
      <c r="H181" s="257"/>
      <c r="I181" s="257"/>
      <c r="J181" s="258"/>
      <c r="K181" s="269"/>
    </row>
    <row r="182" spans="1:11" x14ac:dyDescent="0.25">
      <c r="A182" s="268" t="s">
        <v>305</v>
      </c>
      <c r="B182" s="256"/>
      <c r="C182" s="257"/>
      <c r="D182" s="257"/>
      <c r="E182" s="257"/>
      <c r="F182" s="257"/>
      <c r="G182" s="257"/>
      <c r="H182" s="257"/>
      <c r="I182" s="257"/>
      <c r="J182" s="258"/>
      <c r="K182" s="269"/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38" t="str">
        <f>+A124</f>
        <v>TOTAL FINANCIADO - Pesos Diciembre 2024/Hl</v>
      </c>
      <c r="B189" s="339"/>
      <c r="C189" s="339"/>
      <c r="D189" s="339"/>
      <c r="E189" s="339"/>
      <c r="F189" s="339"/>
      <c r="G189" s="339"/>
      <c r="H189" s="339"/>
      <c r="I189" s="339"/>
      <c r="J189" s="339"/>
      <c r="K189" s="340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427">+C190+1</f>
        <v>2018</v>
      </c>
      <c r="E190" s="260">
        <f t="shared" si="427"/>
        <v>2019</v>
      </c>
      <c r="F190" s="260">
        <f t="shared" si="427"/>
        <v>2020</v>
      </c>
      <c r="G190" s="260">
        <f t="shared" si="427"/>
        <v>2021</v>
      </c>
      <c r="H190" s="260">
        <f t="shared" si="427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32075.055728153511</v>
      </c>
      <c r="C191" s="160">
        <f t="shared" ref="C191:K191" si="428">+AVERAGE(C126:C128)</f>
        <v>65467.848533809018</v>
      </c>
      <c r="D191" s="160">
        <f t="shared" si="428"/>
        <v>55694.583427824116</v>
      </c>
      <c r="E191" s="160">
        <f t="shared" si="428"/>
        <v>32965.813263751268</v>
      </c>
      <c r="F191" s="160">
        <f t="shared" si="428"/>
        <v>24423.580223622394</v>
      </c>
      <c r="G191" s="160">
        <f t="shared" si="428"/>
        <v>45780.455170618232</v>
      </c>
      <c r="H191" s="160">
        <f t="shared" si="428"/>
        <v>52323.766477251309</v>
      </c>
      <c r="I191" s="160">
        <f t="shared" si="428"/>
        <v>71437.298596200533</v>
      </c>
      <c r="J191" s="161">
        <f t="shared" si="428"/>
        <v>54689.119704505843</v>
      </c>
      <c r="K191" s="276">
        <f t="shared" si="428"/>
        <v>38674.859956437031</v>
      </c>
    </row>
    <row r="192" spans="1:11" x14ac:dyDescent="0.25">
      <c r="A192" s="264" t="s">
        <v>300</v>
      </c>
      <c r="B192" s="193"/>
      <c r="C192" s="6"/>
      <c r="D192" s="6"/>
      <c r="E192" s="6"/>
      <c r="F192" s="6"/>
      <c r="G192" s="6"/>
      <c r="H192" s="6"/>
      <c r="I192" s="6"/>
      <c r="J192" s="67"/>
      <c r="K192" s="265"/>
    </row>
    <row r="193" spans="1:11" x14ac:dyDescent="0.25">
      <c r="A193" s="264" t="s">
        <v>301</v>
      </c>
      <c r="B193" s="193"/>
      <c r="C193" s="6"/>
      <c r="D193" s="6"/>
      <c r="E193" s="6"/>
      <c r="F193" s="6"/>
      <c r="G193" s="6"/>
      <c r="H193" s="6"/>
      <c r="I193" s="6"/>
      <c r="J193" s="67"/>
      <c r="K193" s="265"/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194">
        <f t="shared" ref="B195:K195" si="429">SUM(B191:B194)</f>
        <v>32075.055728153511</v>
      </c>
      <c r="C195" s="54">
        <f t="shared" si="429"/>
        <v>65467.848533809018</v>
      </c>
      <c r="D195" s="54">
        <f t="shared" si="429"/>
        <v>55694.583427824116</v>
      </c>
      <c r="E195" s="54">
        <f t="shared" si="429"/>
        <v>32965.813263751268</v>
      </c>
      <c r="F195" s="54">
        <f t="shared" si="429"/>
        <v>24423.580223622394</v>
      </c>
      <c r="G195" s="54">
        <f t="shared" si="429"/>
        <v>45780.455170618232</v>
      </c>
      <c r="H195" s="54">
        <f t="shared" si="429"/>
        <v>52323.766477251309</v>
      </c>
      <c r="I195" s="54">
        <f t="shared" si="429"/>
        <v>71437.298596200533</v>
      </c>
      <c r="J195" s="186">
        <f t="shared" si="429"/>
        <v>54689.119704505843</v>
      </c>
      <c r="K195" s="267">
        <f t="shared" si="429"/>
        <v>38674.859956437031</v>
      </c>
    </row>
    <row r="196" spans="1:11" x14ac:dyDescent="0.25">
      <c r="A196" s="268" t="s">
        <v>303</v>
      </c>
      <c r="B196" s="256"/>
      <c r="C196" s="257">
        <f>+C191/B191-1</f>
        <v>1.0410829240226498</v>
      </c>
      <c r="D196" s="257">
        <f t="shared" ref="D196:K196" si="430">+D191/C191-1</f>
        <v>-0.14928343186560922</v>
      </c>
      <c r="E196" s="257">
        <f t="shared" si="430"/>
        <v>-0.40809660051641428</v>
      </c>
      <c r="F196" s="257">
        <f t="shared" si="430"/>
        <v>-0.25912398920010238</v>
      </c>
      <c r="G196" s="257">
        <f t="shared" si="430"/>
        <v>0.87443670221368897</v>
      </c>
      <c r="H196" s="257">
        <f t="shared" si="430"/>
        <v>0.14292805264270414</v>
      </c>
      <c r="I196" s="257">
        <f t="shared" si="430"/>
        <v>0.36529350629334334</v>
      </c>
      <c r="J196" s="258">
        <f t="shared" si="430"/>
        <v>-0.23444585980726684</v>
      </c>
      <c r="K196" s="269">
        <f t="shared" si="430"/>
        <v>-0.29282350556374737</v>
      </c>
    </row>
    <row r="197" spans="1:11" x14ac:dyDescent="0.25">
      <c r="A197" s="268" t="s">
        <v>304</v>
      </c>
      <c r="B197" s="256"/>
      <c r="C197" s="257"/>
      <c r="D197" s="257"/>
      <c r="E197" s="257"/>
      <c r="F197" s="257"/>
      <c r="G197" s="257"/>
      <c r="H197" s="257"/>
      <c r="I197" s="257"/>
      <c r="J197" s="258"/>
      <c r="K197" s="269"/>
    </row>
    <row r="198" spans="1:11" x14ac:dyDescent="0.25">
      <c r="A198" s="268" t="s">
        <v>305</v>
      </c>
      <c r="B198" s="256"/>
      <c r="C198" s="257"/>
      <c r="D198" s="257"/>
      <c r="E198" s="257"/>
      <c r="F198" s="257"/>
      <c r="G198" s="257"/>
      <c r="H198" s="257"/>
      <c r="I198" s="257"/>
      <c r="J198" s="258"/>
      <c r="K198" s="269"/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143:K143"/>
    <mergeCell ref="A158:K158"/>
    <mergeCell ref="A173:K173"/>
    <mergeCell ref="A189:K189"/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11" t="s">
        <v>160</v>
      </c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S2" s="177" t="s">
        <v>206</v>
      </c>
    </row>
    <row r="3" spans="2:19" ht="6" customHeight="1" x14ac:dyDescent="0.25"/>
    <row r="4" spans="2:19" ht="18.75" customHeight="1" x14ac:dyDescent="0.25">
      <c r="B4" s="310" t="s">
        <v>218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66.909099999999995</v>
      </c>
      <c r="P11" s="26" t="str">
        <f>+IF('Despacho por tipo'!K65="","",'Despacho por tipo'!K65)</f>
        <v/>
      </c>
      <c r="Q11" s="22" t="str">
        <f>+IF('Despacho por tipo'!L65="","",'Despacho por tipo'!L65)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58.450600000000001</v>
      </c>
      <c r="P12" s="26" t="str">
        <f>+IF('Despacho por tipo'!K66="","",'Despacho por tipo'!K66)</f>
        <v/>
      </c>
      <c r="Q12" s="22" t="str">
        <f>+IF('Despacho por tipo'!L66="","",'Despacho por tipo'!L66)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 t="str">
        <f>+IF('Despacho por tipo'!K67="","",'Despacho por tipo'!K67)</f>
        <v/>
      </c>
      <c r="Q13" s="22" t="str">
        <f>+IF('Despacho por tipo'!L67="","",'Despacho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 t="str">
        <f>+IF('Despacho por tipo'!K68="","",'Despacho por tipo'!K68)</f>
        <v/>
      </c>
      <c r="Q14" s="22" t="str">
        <f>+IF('Despacho por tipo'!L68="","",'Despacho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 t="str">
        <f>+IF('Despacho por tipo'!K69="","",'Despacho por tipo'!K69)</f>
        <v/>
      </c>
      <c r="Q15" s="22" t="str">
        <f>+IF('Despacho por tipo'!L69="","",'Despacho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 t="str">
        <f>+IF('Despacho por tipo'!K70="","",'Despacho por tipo'!K70)</f>
        <v/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06" t="s">
        <v>161</v>
      </c>
      <c r="J20" s="307"/>
      <c r="K20" s="308"/>
      <c r="L20" s="306" t="s">
        <v>166</v>
      </c>
      <c r="M20" s="307"/>
      <c r="N20" s="308"/>
      <c r="O20" s="306" t="s">
        <v>162</v>
      </c>
      <c r="P20" s="307"/>
      <c r="Q20" s="309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26.308199999999999</v>
      </c>
      <c r="J26" s="26" t="str">
        <f>+IF('Despacho por tipo'!K11="","",'Despacho por tipo'!K11)</f>
        <v/>
      </c>
      <c r="K26" s="35" t="str">
        <f>+IF('Despacho por tipo'!L11="","",'Despacho por tipo'!L11)</f>
        <v/>
      </c>
      <c r="L26" s="26">
        <f>+IF('Despacho por tipo'!J29="","",'Despacho por tipo'!J29)</f>
        <v>38.952399999999997</v>
      </c>
      <c r="M26" s="26" t="str">
        <f>+IF('Despacho por tipo'!K29="","",'Despacho por tipo'!K29)</f>
        <v/>
      </c>
      <c r="N26" s="35" t="str">
        <f>+IF('Despacho por tipo'!L29="","",'Despacho por tipo'!L29)</f>
        <v/>
      </c>
      <c r="O26" s="26">
        <f>+IF('Despacho por tipo'!J47="","",'Despacho por tipo'!J47)</f>
        <v>1.5189999999999999</v>
      </c>
      <c r="P26" s="26" t="str">
        <f>+IF('Despacho por tipo'!K47="","",'Despacho por tipo'!K47)</f>
        <v/>
      </c>
      <c r="Q26" s="22" t="str">
        <f>+IF('Despacho por tipo'!L47="","",'Despacho por tipo'!L47)</f>
        <v/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15.931800000000001</v>
      </c>
      <c r="J27" s="26" t="str">
        <f>+IF('Despacho por tipo'!K12="","",'Despacho por tipo'!K12)</f>
        <v/>
      </c>
      <c r="K27" s="35" t="str">
        <f>+IF('Despacho por tipo'!L12="","",'Despacho por tipo'!L12)</f>
        <v/>
      </c>
      <c r="L27" s="26">
        <f>+IF('Despacho por tipo'!J30="","",'Despacho por tipo'!J30)</f>
        <v>40.918599999999998</v>
      </c>
      <c r="M27" s="26" t="str">
        <f>+IF('Despacho por tipo'!K30="","",'Despacho por tipo'!K30)</f>
        <v/>
      </c>
      <c r="N27" s="35" t="str">
        <f>+IF('Despacho por tipo'!L30="","",'Despacho por tipo'!L30)</f>
        <v/>
      </c>
      <c r="O27" s="26">
        <f>+IF('Despacho por tipo'!J48="","",'Despacho por tipo'!J48)</f>
        <v>1.3752</v>
      </c>
      <c r="P27" s="26" t="str">
        <f>+IF('Despacho por tipo'!K48="","",'Despacho por tipo'!K48)</f>
        <v/>
      </c>
      <c r="Q27" s="22" t="str">
        <f>+IF('Despacho por tipo'!L48="","",'Despacho por tipo'!L48)</f>
        <v/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 t="str">
        <f>+IF('Despacho por tipo'!K13="","",'Despacho por tipo'!K13)</f>
        <v/>
      </c>
      <c r="K28" s="35" t="str">
        <f>+IF('Despacho por tipo'!L13="","",'Despacho por tipo'!L13)</f>
        <v/>
      </c>
      <c r="L28" s="26">
        <f>+IF('Despacho por tipo'!J31="","",'Despacho por tipo'!J31)</f>
        <v>51.483199999999997</v>
      </c>
      <c r="M28" s="26" t="str">
        <f>+IF('Despacho por tipo'!K31="","",'Despacho por tipo'!K31)</f>
        <v/>
      </c>
      <c r="N28" s="35" t="str">
        <f>+IF('Despacho por tipo'!L31="","",'Despacho por tipo'!L31)</f>
        <v/>
      </c>
      <c r="O28" s="26">
        <f>+IF('Despacho por tipo'!J49="","",'Despacho por tipo'!J49)</f>
        <v>1.8946000000000001</v>
      </c>
      <c r="P28" s="26" t="str">
        <f>+IF('Despacho por tipo'!K49="","",'Despacho por tipo'!K49)</f>
        <v/>
      </c>
      <c r="Q28" s="22" t="str">
        <f>+IF('Despacho por tipo'!L49="","",'Despacho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 t="str">
        <f>+IF('Despacho por tipo'!K14="","",'Despacho por tipo'!K14)</f>
        <v/>
      </c>
      <c r="K29" s="35" t="str">
        <f>+IF('Despacho por tipo'!L14="","",'Despacho por tipo'!L14)</f>
        <v/>
      </c>
      <c r="L29" s="26">
        <f>+IF('Despacho por tipo'!J32="","",'Despacho por tipo'!J32)</f>
        <v>55.452199999999998</v>
      </c>
      <c r="M29" s="26" t="str">
        <f>+IF('Despacho por tipo'!K32="","",'Despacho por tipo'!K32)</f>
        <v/>
      </c>
      <c r="N29" s="35" t="str">
        <f>+IF('Despacho por tipo'!L32="","",'Despacho por tipo'!L32)</f>
        <v/>
      </c>
      <c r="O29" s="26">
        <f>+IF('Despacho por tipo'!J50="","",'Despacho por tipo'!J50)</f>
        <v>2.5535999999999999</v>
      </c>
      <c r="P29" s="26" t="str">
        <f>+IF('Despacho por tipo'!K50="","",'Despacho por tipo'!K50)</f>
        <v/>
      </c>
      <c r="Q29" s="22" t="str">
        <f>+IF('Despacho por tipo'!L50="","",'Despacho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 t="str">
        <f>+IF('Despacho por tipo'!K15="","",'Despacho por tipo'!K15)</f>
        <v/>
      </c>
      <c r="K30" s="35" t="str">
        <f>+IF('Despacho por tipo'!L15="","",'Despacho por tipo'!L15)</f>
        <v/>
      </c>
      <c r="L30" s="26">
        <f>+IF('Despacho por tipo'!J33="","",'Despacho por tipo'!J33)</f>
        <v>43.411900000000003</v>
      </c>
      <c r="M30" s="26" t="str">
        <f>+IF('Despacho por tipo'!K33="","",'Despacho por tipo'!K33)</f>
        <v/>
      </c>
      <c r="N30" s="35" t="str">
        <f>+IF('Despacho por tipo'!L33="","",'Despacho por tipo'!L33)</f>
        <v/>
      </c>
      <c r="O30" s="26">
        <f>+IF('Despacho por tipo'!J51="","",'Despacho por tipo'!J51)</f>
        <v>3.8283</v>
      </c>
      <c r="P30" s="26" t="str">
        <f>+IF('Despacho por tipo'!K51="","",'Despacho por tipo'!K51)</f>
        <v/>
      </c>
      <c r="Q30" s="22" t="str">
        <f>+IF('Despacho por tipo'!L51="","",'Despacho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 t="str">
        <f>+IF('Despacho por tipo'!K16="","",'Despacho por tipo'!K16)</f>
        <v/>
      </c>
      <c r="K31" s="35" t="str">
        <f>+IF('Despacho por tipo'!L16="","",'Despacho por tipo'!L16)</f>
        <v/>
      </c>
      <c r="L31" s="26">
        <f>+IF('Despacho por tipo'!J34="","",'Despacho por tipo'!J34)</f>
        <v>46.086399999999998</v>
      </c>
      <c r="M31" s="26" t="str">
        <f>+IF('Despacho por tipo'!K34="","",'Despacho por tipo'!K34)</f>
        <v/>
      </c>
      <c r="N31" s="35" t="str">
        <f>+IF('Despacho por tipo'!L34="","",'Despacho por tipo'!L34)</f>
        <v/>
      </c>
      <c r="O31" s="26">
        <f>+IF('Despacho por tipo'!J52="","",'Despacho por tipo'!J52)</f>
        <v>4.1843000000000004</v>
      </c>
      <c r="P31" s="26" t="str">
        <f>+IF('Despacho por tipo'!K52="","",'Despacho por tipo'!K52)</f>
        <v/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06" t="s">
        <v>163</v>
      </c>
      <c r="J35" s="307"/>
      <c r="K35" s="308"/>
      <c r="L35" s="306" t="s">
        <v>164</v>
      </c>
      <c r="M35" s="307"/>
      <c r="N35" s="308"/>
      <c r="O35" s="306" t="s">
        <v>165</v>
      </c>
      <c r="P35" s="307"/>
      <c r="Q35" s="309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 t="str">
        <f>+IF('Despacho por envase'!K11="","",'Despacho por envase'!K11)</f>
        <v/>
      </c>
      <c r="K41" s="35" t="str">
        <f>+IF('Despacho por envase'!L11="","",'Despacho por envase'!L11)</f>
        <v/>
      </c>
      <c r="L41" s="26">
        <f>+IF('Despacho por envase'!J29="","",'Despacho por envase'!J29)</f>
        <v>40.022500000000001</v>
      </c>
      <c r="M41" s="26" t="str">
        <f>+IF('Despacho por envase'!K29="","",'Despacho por envase'!K29)</f>
        <v/>
      </c>
      <c r="N41" s="35" t="str">
        <f>+IF('Despacho por envase'!L29="","",'Despacho por envase'!L29)</f>
        <v/>
      </c>
      <c r="O41" s="26">
        <f>+IF('Despacho por envase'!J47="","",'Despacho por envase'!J47)</f>
        <v>24.751200000000001</v>
      </c>
      <c r="P41" s="26" t="str">
        <f>+IF('Despacho por envase'!K47="","",'Despacho por envase'!K47)</f>
        <v/>
      </c>
      <c r="Q41" s="22" t="str">
        <f>+IF('Despacho por envase'!L47="","",'Despacho por envase'!L47)</f>
        <v/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 t="str">
        <f>+IF('Despacho por envase'!K12="","",'Despacho por envase'!K12)</f>
        <v/>
      </c>
      <c r="K42" s="35" t="str">
        <f>+IF('Despacho por envase'!L12="","",'Despacho por envase'!L12)</f>
        <v/>
      </c>
      <c r="L42" s="26">
        <f>+IF('Despacho por envase'!J30="","",'Despacho por envase'!J30)</f>
        <v>35.665900000000001</v>
      </c>
      <c r="M42" s="26" t="str">
        <f>+IF('Despacho por envase'!K30="","",'Despacho por envase'!K30)</f>
        <v/>
      </c>
      <c r="N42" s="35" t="str">
        <f>+IF('Despacho por envase'!L30="","",'Despacho por envase'!L30)</f>
        <v/>
      </c>
      <c r="O42" s="26">
        <f>+IF('Despacho por envase'!J48="","",'Despacho por envase'!J48)</f>
        <v>20.602</v>
      </c>
      <c r="P42" s="26" t="str">
        <f>+IF('Despacho por envase'!K48="","",'Despacho por envase'!K48)</f>
        <v/>
      </c>
      <c r="Q42" s="22" t="str">
        <f>+IF('Despacho por envase'!L48="","",'Despacho por envase'!L48)</f>
        <v/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 t="str">
        <f>+IF('Despacho por envase'!K13="","",'Despacho por envase'!K13)</f>
        <v/>
      </c>
      <c r="K43" s="35" t="str">
        <f>+IF('Despacho por envase'!L13="","",'Despacho por envase'!L13)</f>
        <v/>
      </c>
      <c r="L43" s="26">
        <f>+IF('Despacho por envase'!J31="","",'Despacho por envase'!J31)</f>
        <v>50.517400000000002</v>
      </c>
      <c r="M43" s="26" t="str">
        <f>+IF('Despacho por envase'!K31="","",'Despacho por envase'!K31)</f>
        <v/>
      </c>
      <c r="N43" s="35" t="str">
        <f>+IF('Despacho por envase'!L31="","",'Despacho por envase'!L31)</f>
        <v/>
      </c>
      <c r="O43" s="26">
        <f>+IF('Despacho por envase'!J49="","",'Despacho por envase'!J49)</f>
        <v>21.936399999999999</v>
      </c>
      <c r="P43" s="26" t="str">
        <f>+IF('Despacho por envase'!K49="","",'Despacho por envase'!K49)</f>
        <v/>
      </c>
      <c r="Q43" s="22" t="str">
        <f>+IF('Despacho por envase'!L49="","",'Despacho por envase'!L49)</f>
        <v/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 t="str">
        <f>+IF('Despacho por envase'!K14="","",'Despacho por envase'!K14)</f>
        <v/>
      </c>
      <c r="K44" s="35" t="str">
        <f>+IF('Despacho por envase'!L14="","",'Despacho por envase'!L14)</f>
        <v/>
      </c>
      <c r="L44" s="26">
        <f>+IF('Despacho por envase'!J32="","",'Despacho por envase'!J32)</f>
        <v>55.869599999999998</v>
      </c>
      <c r="M44" s="26" t="str">
        <f>+IF('Despacho por envase'!K32="","",'Despacho por envase'!K32)</f>
        <v/>
      </c>
      <c r="N44" s="35" t="str">
        <f>+IF('Despacho por envase'!L32="","",'Despacho por envase'!L32)</f>
        <v/>
      </c>
      <c r="O44" s="26">
        <f>+IF('Despacho por envase'!J50="","",'Despacho por envase'!J50)</f>
        <v>23.2318</v>
      </c>
      <c r="P44" s="26" t="str">
        <f>+IF('Despacho por envase'!K50="","",'Despacho por envase'!K50)</f>
        <v/>
      </c>
      <c r="Q44" s="22" t="str">
        <f>+IF('Despacho por envase'!L50="","",'Despacho por envase'!L50)</f>
        <v/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 t="str">
        <f>+IF('Despacho por envase'!K15="","",'Despacho por envase'!K15)</f>
        <v/>
      </c>
      <c r="K45" s="35" t="str">
        <f>+IF('Despacho por envase'!L15="","",'Despacho por envase'!L15)</f>
        <v/>
      </c>
      <c r="L45" s="26">
        <f>+IF('Despacho por envase'!J33="","",'Despacho por envase'!J33)</f>
        <v>47.7316</v>
      </c>
      <c r="M45" s="26" t="str">
        <f>+IF('Despacho por envase'!K33="","",'Despacho por envase'!K33)</f>
        <v/>
      </c>
      <c r="N45" s="35" t="str">
        <f>+IF('Despacho por envase'!L33="","",'Despacho por envase'!L33)</f>
        <v/>
      </c>
      <c r="O45" s="26">
        <f>+IF('Despacho por envase'!J51="","",'Despacho por envase'!J51)</f>
        <v>20.831299999999999</v>
      </c>
      <c r="P45" s="26" t="str">
        <f>+IF('Despacho por envase'!K51="","",'Despacho por envase'!K51)</f>
        <v/>
      </c>
      <c r="Q45" s="22" t="str">
        <f>+IF('Despacho por envase'!L51="","",'Despacho por envase'!L51)</f>
        <v/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 t="str">
        <f>+IF('Despacho por envase'!K16="","",'Despacho por envase'!K16)</f>
        <v/>
      </c>
      <c r="K46" s="35" t="str">
        <f>+IF('Despacho por envase'!L16="","",'Despacho por envase'!L16)</f>
        <v/>
      </c>
      <c r="L46" s="26">
        <f>+IF('Despacho por envase'!J34="","",'Despacho por envase'!J34)</f>
        <v>44.731000000000002</v>
      </c>
      <c r="M46" s="26" t="str">
        <f>+IF('Despacho por envase'!K34="","",'Despacho por envase'!K34)</f>
        <v/>
      </c>
      <c r="N46" s="35" t="str">
        <f>+IF('Despacho por envase'!L34="","",'Despacho por envase'!L34)</f>
        <v/>
      </c>
      <c r="O46" s="26">
        <f>+IF('Despacho por envase'!J52="","",'Despacho por envase'!J52)</f>
        <v>22.7315</v>
      </c>
      <c r="P46" s="26" t="str">
        <f>+IF('Despacho por envase'!K52="","",'Despacho por envase'!K52)</f>
        <v/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06" t="s">
        <v>167</v>
      </c>
      <c r="J50" s="307"/>
      <c r="K50" s="308"/>
      <c r="L50" s="306" t="s">
        <v>168</v>
      </c>
      <c r="M50" s="307"/>
      <c r="N50" s="308"/>
      <c r="O50" s="306" t="s">
        <v>169</v>
      </c>
      <c r="P50" s="307"/>
      <c r="Q50" s="309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12.1046</v>
      </c>
      <c r="J52" s="26">
        <f>+IF('Despacho por color'!K7="","",'Despacho por color'!K7)</f>
        <v>14.5138</v>
      </c>
      <c r="K52" s="35">
        <f>+IF('Despacho por color'!L7="","",'Despacho por color'!L7)</f>
        <v>-0.15871339013914176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0.13513646907852528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13.9244</v>
      </c>
      <c r="J53" s="26">
        <f>+IF('Despacho por color'!K8="","",'Despacho por color'!K8)</f>
        <v>13.2531</v>
      </c>
      <c r="K53" s="35">
        <f>+IF('Despacho por color'!L8="","",'Despacho por color'!L8)</f>
        <v>4.9219843824426235E-3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-5.0395624236631131E-2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-8.000083646426559E-2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14.7433</v>
      </c>
      <c r="J54" s="26">
        <f>+IF('Despacho por color'!K9="","",'Despacho por color'!K9)</f>
        <v>16.894600000000001</v>
      </c>
      <c r="K54" s="35">
        <f>+IF('Despacho por color'!L9="","",'Despacho por color'!L9)</f>
        <v>-0.12565457445988348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-4.9208691669635152E-2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8.2984603237268084E-2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17.9559</v>
      </c>
      <c r="J55" s="26">
        <f>+IF('Despacho por color'!K10="","",'Despacho por color'!K10)</f>
        <v>20.9985</v>
      </c>
      <c r="K55" s="35">
        <f>+IF('Despacho por color'!L10="","",'Despacho por color'!L10)</f>
        <v>6.2642773444435251E-2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9.4958722708796017E-2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-0.13288970452929094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26.308199999999999</v>
      </c>
      <c r="J56" s="26" t="str">
        <f>+IF('Despacho por color'!K11="","",'Despacho por color'!K11)</f>
        <v/>
      </c>
      <c r="K56" s="35" t="str">
        <f>+IF('Despacho por color'!L11="","",'Despacho por color'!L11)</f>
        <v/>
      </c>
      <c r="L56" s="26">
        <f>+IF('Despacho por color'!J29="","",'Despacho por color'!J29)</f>
        <v>5.1208</v>
      </c>
      <c r="M56" s="26" t="str">
        <f>+IF('Despacho por color'!K29="","",'Despacho por color'!K29)</f>
        <v/>
      </c>
      <c r="N56" s="35" t="str">
        <f>+IF('Despacho por color'!L29="","",'Despacho por color'!L29)</f>
        <v/>
      </c>
      <c r="O56" s="26">
        <f>+IF('Despacho por color'!J65="","",'Despacho por color'!J65)</f>
        <v>18.933599999999998</v>
      </c>
      <c r="P56" s="26" t="str">
        <f>+IF('Despacho por color'!K65="","",'Despacho por color'!K65)</f>
        <v/>
      </c>
      <c r="Q56" s="22" t="str">
        <f>+IF('Despacho por color'!L65="","",'Despacho por color'!L65)</f>
        <v/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15.931800000000001</v>
      </c>
      <c r="J57" s="26" t="str">
        <f>+IF('Despacho por color'!K12="","",'Despacho por color'!K12)</f>
        <v/>
      </c>
      <c r="K57" s="35" t="str">
        <f>+IF('Despacho por color'!L12="","",'Despacho por color'!L12)</f>
        <v/>
      </c>
      <c r="L57" s="26">
        <f>+IF('Despacho por color'!J30="","",'Despacho por color'!J30)</f>
        <v>2.2744</v>
      </c>
      <c r="M57" s="26" t="str">
        <f>+IF('Despacho por color'!K30="","",'Despacho por color'!K30)</f>
        <v/>
      </c>
      <c r="N57" s="35" t="str">
        <f>+IF('Despacho por color'!L30="","",'Despacho por color'!L30)</f>
        <v/>
      </c>
      <c r="O57" s="26">
        <f>+IF('Despacho por color'!J66="","",'Despacho por color'!J66)</f>
        <v>13.989599999999999</v>
      </c>
      <c r="P57" s="26" t="str">
        <f>+IF('Despacho por color'!K66="","",'Despacho por color'!K66)</f>
        <v/>
      </c>
      <c r="Q57" s="22" t="str">
        <f>+IF('Despacho por color'!L66="","",'Despacho por color'!L66)</f>
        <v/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21.844100000000001</v>
      </c>
      <c r="J58" s="26" t="str">
        <f>+IF('Despacho por color'!K13="","",'Despacho por color'!K13)</f>
        <v/>
      </c>
      <c r="K58" s="35" t="str">
        <f>+IF('Despacho por color'!L13="","",'Despacho por color'!L13)</f>
        <v/>
      </c>
      <c r="L58" s="26">
        <f>+IF('Despacho por color'!J31="","",'Despacho por color'!J31)</f>
        <v>3.2766999999999999</v>
      </c>
      <c r="M58" s="26" t="str">
        <f>+IF('Despacho por color'!K31="","",'Despacho por color'!K31)</f>
        <v/>
      </c>
      <c r="N58" s="35" t="str">
        <f>+IF('Despacho por color'!L31="","",'Despacho por color'!L31)</f>
        <v/>
      </c>
      <c r="O58" s="26">
        <f>+IF('Despacho por color'!J67="","",'Despacho por color'!J67)</f>
        <v>16.7074</v>
      </c>
      <c r="P58" s="26" t="str">
        <f>+IF('Despacho por color'!K67="","",'Despacho por color'!K67)</f>
        <v/>
      </c>
      <c r="Q58" s="22" t="str">
        <f>+IF('Despacho por color'!L67="","",'Despacho por color'!L67)</f>
        <v/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23.2133</v>
      </c>
      <c r="J59" s="26" t="str">
        <f>+IF('Despacho por color'!K14="","",'Despacho por color'!K14)</f>
        <v/>
      </c>
      <c r="K59" s="35" t="str">
        <f>+IF('Despacho por color'!L14="","",'Despacho por color'!L14)</f>
        <v/>
      </c>
      <c r="L59" s="26">
        <f>+IF('Despacho por color'!J32="","",'Despacho por color'!J32)</f>
        <v>3.7685</v>
      </c>
      <c r="M59" s="26" t="str">
        <f>+IF('Despacho por color'!K32="","",'Despacho por color'!K32)</f>
        <v/>
      </c>
      <c r="N59" s="35" t="str">
        <f>+IF('Despacho por color'!L32="","",'Despacho por color'!L32)</f>
        <v/>
      </c>
      <c r="O59" s="26">
        <f>+IF('Despacho por color'!J68="","",'Despacho por color'!J68)</f>
        <v>20.506900000000002</v>
      </c>
      <c r="P59" s="26" t="str">
        <f>+IF('Despacho por color'!K68="","",'Despacho por color'!K68)</f>
        <v/>
      </c>
      <c r="Q59" s="22" t="str">
        <f>+IF('Despacho por color'!L68="","",'Despacho por color'!L68)</f>
        <v/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 t="str">
        <f>+IF('Despacho por color'!K15="","",'Despacho por color'!K15)</f>
        <v/>
      </c>
      <c r="K60" s="35" t="str">
        <f>+IF('Despacho por color'!L15="","",'Despacho por color'!L15)</f>
        <v/>
      </c>
      <c r="L60" s="26">
        <f>+IF('Despacho por color'!J33="","",'Despacho por color'!J33)</f>
        <v>3.6909999999999998</v>
      </c>
      <c r="M60" s="26" t="str">
        <f>+IF('Despacho por color'!K33="","",'Despacho por color'!K33)</f>
        <v/>
      </c>
      <c r="N60" s="35" t="str">
        <f>+IF('Despacho por color'!L33="","",'Despacho por color'!L33)</f>
        <v/>
      </c>
      <c r="O60" s="26">
        <f>+IF('Despacho por color'!J69="","",'Despacho por color'!J69)</f>
        <v>17.067</v>
      </c>
      <c r="P60" s="26" t="str">
        <f>+IF('Despacho por color'!K69="","",'Despacho por color'!K69)</f>
        <v/>
      </c>
      <c r="Q60" s="22" t="str">
        <f>+IF('Despacho por color'!L69="","",'Despacho por color'!L69)</f>
        <v/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 t="str">
        <f>+IF('Despacho por color'!K16="","",'Despacho por color'!K16)</f>
        <v/>
      </c>
      <c r="K61" s="35" t="str">
        <f>+IF('Despacho por color'!L16="","",'Despacho por color'!L16)</f>
        <v/>
      </c>
      <c r="L61" s="26">
        <f>+IF('Despacho por color'!J34="","",'Despacho por color'!J34)</f>
        <v>2.9203000000000001</v>
      </c>
      <c r="M61" s="26" t="str">
        <f>+IF('Despacho por color'!K34="","",'Despacho por color'!K34)</f>
        <v/>
      </c>
      <c r="N61" s="35" t="str">
        <f>+IF('Despacho por color'!L34="","",'Despacho por color'!L34)</f>
        <v/>
      </c>
      <c r="O61" s="26">
        <f>+IF('Despacho por color'!J70="","",'Despacho por color'!J70)</f>
        <v>17.944500000000001</v>
      </c>
      <c r="P61" s="26" t="str">
        <f>+IF('Despacho por color'!K70="","",'Despacho por color'!K70)</f>
        <v/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20.632999999999999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15.165900000000001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06" t="s">
        <v>170</v>
      </c>
      <c r="J65" s="307"/>
      <c r="K65" s="308"/>
      <c r="L65" s="306" t="s">
        <v>171</v>
      </c>
      <c r="M65" s="307"/>
      <c r="N65" s="308"/>
      <c r="O65" s="306" t="s">
        <v>172</v>
      </c>
      <c r="P65" s="307"/>
      <c r="Q65" s="309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-7.2816807681338469E-2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-0.20675289797040952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8.0027120423428411E-2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1.451587308215907E-2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5.6460564348836062E-2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-6.7911087816267202E-2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-0.13738025612584459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-9.2467502839316928E-2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-0.17174577067669172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6.0539862587949855E-2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-9.5415197020751852E-2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26.476400000000002</v>
      </c>
      <c r="J71" s="26" t="str">
        <f>+IF('Despacho por color'!K83="","",'Despacho por color'!K83)</f>
        <v/>
      </c>
      <c r="K71" s="35" t="str">
        <f>+IF('Despacho por color'!L83="","",'Despacho por color'!L83)</f>
        <v/>
      </c>
      <c r="L71" s="26">
        <f>+IF('Despacho por color'!J101="","",'Despacho por color'!J101)</f>
        <v>21.1874</v>
      </c>
      <c r="M71" s="26" t="str">
        <f>+IF('Despacho por color'!K101="","",'Despacho por color'!K101)</f>
        <v/>
      </c>
      <c r="N71" s="35" t="str">
        <f>+IF('Despacho por color'!L101="","",'Despacho por color'!L101)</f>
        <v/>
      </c>
      <c r="O71" s="26">
        <f>+IF('Despacho por color'!J137="","",'Despacho por color'!J137)</f>
        <v>47.9756</v>
      </c>
      <c r="P71" s="26" t="str">
        <f>+IF('Despacho por color'!K137="","",'Despacho por color'!K137)</f>
        <v/>
      </c>
      <c r="Q71" s="22" t="str">
        <f>+IF('Despacho por color'!L137="","",'Despacho por color'!L137)</f>
        <v/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 t="str">
        <f>+IF('Despacho por color'!K84="","",'Despacho por color'!K84)</f>
        <v/>
      </c>
      <c r="K72" s="35" t="str">
        <f>+IF('Despacho por color'!L84="","",'Despacho por color'!L84)</f>
        <v/>
      </c>
      <c r="L72" s="26">
        <f>+IF('Despacho por color'!J102="","",'Despacho por color'!J102)</f>
        <v>13.657400000000001</v>
      </c>
      <c r="M72" s="26" t="str">
        <f>+IF('Despacho por color'!K102="","",'Despacho por color'!K102)</f>
        <v/>
      </c>
      <c r="N72" s="35" t="str">
        <f>+IF('Despacho por color'!L102="","",'Despacho por color'!L102)</f>
        <v/>
      </c>
      <c r="O72" s="26">
        <f>+IF('Despacho por color'!J138="","",'Despacho por color'!J138)</f>
        <v>44.460999999999999</v>
      </c>
      <c r="P72" s="26" t="str">
        <f>+IF('Despacho por color'!K138="","",'Despacho por color'!K138)</f>
        <v/>
      </c>
      <c r="Q72" s="22" t="str">
        <f>+IF('Despacho por color'!L138="","",'Despacho por color'!L138)</f>
        <v/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 t="str">
        <f>+IF('Despacho por color'!K85="","",'Despacho por color'!K85)</f>
        <v/>
      </c>
      <c r="K73" s="35" t="str">
        <f>+IF('Despacho por color'!L85="","",'Despacho por color'!L85)</f>
        <v/>
      </c>
      <c r="L73" s="26">
        <f>+IF('Despacho por color'!J103="","",'Despacho por color'!J103)</f>
        <v>18.567399999999999</v>
      </c>
      <c r="M73" s="26" t="str">
        <f>+IF('Despacho por color'!K103="","",'Despacho por color'!K103)</f>
        <v/>
      </c>
      <c r="N73" s="35" t="str">
        <f>+IF('Despacho por color'!L103="","",'Despacho por color'!L103)</f>
        <v/>
      </c>
      <c r="O73" s="26">
        <f>+IF('Despacho por color'!J139="","",'Despacho por color'!J139)</f>
        <v>58.624099999999999</v>
      </c>
      <c r="P73" s="26" t="str">
        <f>+IF('Despacho por color'!K139="","",'Despacho por color'!K139)</f>
        <v/>
      </c>
      <c r="Q73" s="22" t="str">
        <f>+IF('Despacho por color'!L139="","",'Despacho por color'!L139)</f>
        <v/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 t="str">
        <f>+IF('Despacho por color'!K86="","",'Despacho por color'!K86)</f>
        <v/>
      </c>
      <c r="K74" s="35" t="str">
        <f>+IF('Despacho por color'!L86="","",'Despacho por color'!L86)</f>
        <v/>
      </c>
      <c r="L74" s="26">
        <f>+IF('Despacho por color'!J104="","",'Despacho por color'!J104)</f>
        <v>19.444800000000001</v>
      </c>
      <c r="M74" s="26" t="str">
        <f>+IF('Despacho por color'!K104="","",'Despacho por color'!K104)</f>
        <v/>
      </c>
      <c r="N74" s="35" t="str">
        <f>+IF('Despacho por color'!L104="","",'Despacho por color'!L104)</f>
        <v/>
      </c>
      <c r="O74" s="26">
        <f>+IF('Despacho por color'!J140="","",'Despacho por color'!J140)</f>
        <v>60.903500000000001</v>
      </c>
      <c r="P74" s="26" t="str">
        <f>+IF('Despacho por color'!K140="","",'Despacho por color'!K140)</f>
        <v/>
      </c>
      <c r="Q74" s="22" t="str">
        <f>+IF('Despacho por color'!L140="","",'Despacho por color'!L140)</f>
        <v/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 t="str">
        <f>+IF('Despacho por color'!K87="","",'Despacho por color'!K87)</f>
        <v/>
      </c>
      <c r="K75" s="35" t="str">
        <f>+IF('Despacho por color'!L87="","",'Despacho por color'!L87)</f>
        <v/>
      </c>
      <c r="L75" s="26">
        <f>+IF('Despacho por color'!J105="","",'Despacho por color'!J105)</f>
        <v>19.493500000000001</v>
      </c>
      <c r="M75" s="26" t="str">
        <f>+IF('Despacho por color'!K105="","",'Despacho por color'!K105)</f>
        <v/>
      </c>
      <c r="N75" s="35" t="str">
        <f>+IF('Despacho por color'!L105="","",'Despacho por color'!L105)</f>
        <v/>
      </c>
      <c r="O75" s="26">
        <f>+IF('Despacho por color'!J141="","",'Despacho por color'!J141)</f>
        <v>53.597200000000001</v>
      </c>
      <c r="P75" s="26" t="str">
        <f>+IF('Despacho por color'!K141="","",'Despacho por color'!K141)</f>
        <v/>
      </c>
      <c r="Q75" s="22" t="str">
        <f>+IF('Despacho por color'!L141="","",'Despacho por color'!L141)</f>
        <v/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 t="str">
        <f>+IF('Despacho por color'!K88="","",'Despacho por color'!K88)</f>
        <v/>
      </c>
      <c r="K76" s="35" t="str">
        <f>+IF('Despacho por color'!L88="","",'Despacho por color'!L88)</f>
        <v/>
      </c>
      <c r="L76" s="26">
        <f>+IF('Despacho por color'!J106="","",'Despacho por color'!J106)</f>
        <v>16.252800000000001</v>
      </c>
      <c r="M76" s="26" t="str">
        <f>+IF('Despacho por color'!K106="","",'Despacho por color'!K106)</f>
        <v/>
      </c>
      <c r="N76" s="35" t="str">
        <f>+IF('Despacho por color'!L106="","",'Despacho por color'!L106)</f>
        <v/>
      </c>
      <c r="O76" s="26">
        <f>+IF('Despacho por color'!J142="","",'Despacho por color'!J142)</f>
        <v>51.617600000000003</v>
      </c>
      <c r="P76" s="26" t="str">
        <f>+IF('Despacho por color'!K142="","",'Despacho por color'!K142)</f>
        <v/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11" t="s">
        <v>160</v>
      </c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V2" s="177" t="s">
        <v>206</v>
      </c>
    </row>
    <row r="3" spans="2:22" ht="6" customHeight="1" x14ac:dyDescent="0.25"/>
    <row r="4" spans="2:22" ht="18.75" customHeight="1" x14ac:dyDescent="0.25">
      <c r="B4" s="310" t="s">
        <v>173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 t="str">
        <f>+IF('Exportación por tipo'!K65="","",'Exportación por tipo'!K65)</f>
        <v/>
      </c>
      <c r="T11" s="22" t="str">
        <f>+IF('Exportación por tipo'!L65="","",'Exportación por tipo'!L65)</f>
        <v/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 t="str">
        <f>+IF('Exportación por tipo'!K66="","",'Exportación por tipo'!K66)</f>
        <v/>
      </c>
      <c r="T12" s="22" t="str">
        <f>+IF('Exportación por tipo'!L66="","",'Exportación por tipo'!L66)</f>
        <v/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 t="str">
        <f>+IF('Exportación por tipo'!K67="","",'Exportación por tipo'!K67)</f>
        <v/>
      </c>
      <c r="T13" s="22" t="str">
        <f>+IF('Exportación por tipo'!L67="","",'Exportación por tipo'!L67)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 t="str">
        <f>+IF('Exportación por tipo'!K68="","",'Exportación por tipo'!K68)</f>
        <v/>
      </c>
      <c r="T14" s="22" t="str">
        <f>+IF('Exportación por tipo'!L68="","",'Exportación por tipo'!L68)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 t="str">
        <f>+IF('Exportación por tipo'!K69="","",'Exportación por tipo'!K69)</f>
        <v/>
      </c>
      <c r="T15" s="22" t="str">
        <f>+IF('Exportación por tipo'!L69="","",'Exportación por tipo'!L69)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 t="str">
        <f>+IF('Exportación por tipo'!K70="","",'Exportación por tipo'!K70)</f>
        <v/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 t="str">
        <f>+IF('Exportación por tipo'!K71="","",'Exportación por tipo'!K71)</f>
        <v/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 t="str">
        <f>+IF('Exportación por envase'!K99="","",'Exportación por envase'!K99)</f>
        <v/>
      </c>
      <c r="T24" s="22" t="str">
        <f>+IF('Exportación por envase'!L99="","",'Exportación por envase'!L99)</f>
        <v/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64.658000000000001</v>
      </c>
      <c r="S25" s="20" t="str">
        <f>+IF('Exportación por envase'!K100="","",'Exportación por envase'!K100)</f>
        <v/>
      </c>
      <c r="T25" s="22" t="str">
        <f>+IF('Exportación por envase'!L100="","",'Exportación por envase'!L100)</f>
        <v/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47.927999999999997</v>
      </c>
      <c r="S26" s="20" t="str">
        <f>+IF('Exportación por envase'!K101="","",'Exportación por envase'!K101)</f>
        <v/>
      </c>
      <c r="T26" s="22" t="str">
        <f>+IF('Exportación por envase'!L101="","",'Exportación por envase'!L101)</f>
        <v/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 t="str">
        <f>+IF('Exportación por envase'!K102="","",'Exportación por envase'!K102)</f>
        <v/>
      </c>
      <c r="T27" s="22" t="str">
        <f>+IF('Exportación por envase'!L102="","",'Exportación por envase'!L102)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 t="str">
        <f>+IF('Exportación por envase'!K103="","",'Exportación por envase'!K103)</f>
        <v/>
      </c>
      <c r="T28" s="22" t="str">
        <f>+IF('Exportación por envase'!L103="","",'Exportación por envase'!L103)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 t="str">
        <f>+IF('Exportación por envase'!K104="","",'Exportación por envase'!K104)</f>
        <v/>
      </c>
      <c r="T29" s="22" t="str">
        <f>+IF('Exportación por envase'!L104="","",'Exportación por envase'!L104)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 t="str">
        <f>+IF('Exportación por envase'!K105="","",'Exportación por envase'!K105)</f>
        <v/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 t="str">
        <f>+IF('Exportación por envase'!K106="","",'Exportación por envase'!K106)</f>
        <v/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06" t="s">
        <v>174</v>
      </c>
      <c r="P34" s="307"/>
      <c r="Q34" s="308"/>
      <c r="R34" s="306" t="s">
        <v>175</v>
      </c>
      <c r="S34" s="307"/>
      <c r="T34" s="309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14.923400000000001</v>
      </c>
      <c r="P40" s="20" t="str">
        <f>+IF('Exportación por envase'!K11="","",'Exportación por envase'!K11)</f>
        <v/>
      </c>
      <c r="Q40" s="21" t="str">
        <f>+IF('Exportación por envase'!L11="","",'Exportación por envase'!L11)</f>
        <v/>
      </c>
      <c r="R40" s="20">
        <f>+IF('Exportación por envase'!J29="","",'Exportación por envase'!J29)</f>
        <v>3.5038999999999998</v>
      </c>
      <c r="S40" s="20" t="str">
        <f>+IF('Exportación por envase'!K29="","",'Exportación por envase'!K29)</f>
        <v/>
      </c>
      <c r="T40" s="22" t="str">
        <f>+IF('Exportación por envase'!L29="","",'Exportación por envase'!L29)</f>
        <v/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9.9525000000000006</v>
      </c>
      <c r="P41" s="20" t="str">
        <f>+IF('Exportación por envase'!K12="","",'Exportación por envase'!K12)</f>
        <v/>
      </c>
      <c r="Q41" s="21" t="str">
        <f>+IF('Exportación por envase'!L12="","",'Exportación por envase'!L12)</f>
        <v/>
      </c>
      <c r="R41" s="20">
        <f>+IF('Exportación por envase'!J30="","",'Exportación por envase'!J30)</f>
        <v>2.4940000000000002</v>
      </c>
      <c r="S41" s="20" t="str">
        <f>+IF('Exportación por envase'!K30="","",'Exportación por envase'!K30)</f>
        <v/>
      </c>
      <c r="T41" s="22" t="str">
        <f>+IF('Exportación por envase'!L30="","",'Exportación por envase'!L30)</f>
        <v/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 t="str">
        <f>+IF('Exportación por envase'!K13="","",'Exportación por envase'!K13)</f>
        <v/>
      </c>
      <c r="Q42" s="21" t="str">
        <f>+IF('Exportación por envase'!L13="","",'Exportación por envase'!L13)</f>
        <v/>
      </c>
      <c r="R42" s="20">
        <f>+IF('Exportación por envase'!J31="","",'Exportación por envase'!J31)</f>
        <v>5.8788</v>
      </c>
      <c r="S42" s="20" t="str">
        <f>+IF('Exportación por envase'!K31="","",'Exportación por envase'!K31)</f>
        <v/>
      </c>
      <c r="T42" s="22" t="str">
        <f>+IF('Exportación por envase'!L31="","",'Exportación por envase'!L31)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 t="str">
        <f>+IF('Exportación por envase'!K14="","",'Exportación por envase'!K14)</f>
        <v/>
      </c>
      <c r="Q43" s="21" t="str">
        <f>+IF('Exportación por envase'!L14="","",'Exportación por envase'!L14)</f>
        <v/>
      </c>
      <c r="R43" s="20">
        <f>+IF('Exportación por envase'!J32="","",'Exportación por envase'!J32)</f>
        <v>4.8810000000000002</v>
      </c>
      <c r="S43" s="20" t="str">
        <f>+IF('Exportación por envase'!K32="","",'Exportación por envase'!K32)</f>
        <v/>
      </c>
      <c r="T43" s="22" t="str">
        <f>+IF('Exportación por envase'!L32="","",'Exportación por envase'!L32)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 t="str">
        <f>+IF('Exportación por envase'!K15="","",'Exportación por envase'!K15)</f>
        <v/>
      </c>
      <c r="Q44" s="21" t="str">
        <f>+IF('Exportación por envase'!L15="","",'Exportación por envase'!L15)</f>
        <v/>
      </c>
      <c r="R44" s="20">
        <f>+IF('Exportación por envase'!J33="","",'Exportación por envase'!J33)</f>
        <v>4.0599999999999996</v>
      </c>
      <c r="S44" s="20" t="str">
        <f>+IF('Exportación por envase'!K33="","",'Exportación por envase'!K33)</f>
        <v/>
      </c>
      <c r="T44" s="22" t="str">
        <f>+IF('Exportación por envase'!L33="","",'Exportación por envase'!L33)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 t="str">
        <f>+IF('Exportación por envase'!K16="","",'Exportación por envase'!K16)</f>
        <v/>
      </c>
      <c r="Q45" s="21" t="str">
        <f>+IF('Exportación por envase'!L16="","",'Exportación por envase'!L16)</f>
        <v/>
      </c>
      <c r="R45" s="20">
        <f>+IF('Exportación por envase'!J34="","",'Exportación por envase'!J34)</f>
        <v>5.4524999999999997</v>
      </c>
      <c r="S45" s="20" t="str">
        <f>+IF('Exportación por envase'!K34="","",'Exportación por envase'!K34)</f>
        <v/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 t="str">
        <f>+IF('Exportación por envase'!K17="","",'Exportación por envase'!K17)</f>
        <v/>
      </c>
      <c r="Q46" s="21" t="str">
        <f>+IF('Exportación por envase'!L17="","",'Exportación por envase'!L17)</f>
        <v/>
      </c>
      <c r="R46" s="20">
        <f>+IF('Exportación por envase'!J35="","",'Exportación por envase'!J35)</f>
        <v>5.0743999999999998</v>
      </c>
      <c r="S46" s="20" t="str">
        <f>+IF('Exportación por envase'!K35="","",'Exportación por envase'!K35)</f>
        <v/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06" t="s">
        <v>174</v>
      </c>
      <c r="P49" s="307"/>
      <c r="Q49" s="308"/>
      <c r="R49" s="306" t="s">
        <v>175</v>
      </c>
      <c r="S49" s="307"/>
      <c r="T49" s="309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 t="str">
        <f>+IF('Exportación por envase'!K63="","",'Exportación por envase'!K63)</f>
        <v/>
      </c>
      <c r="Q54" s="21" t="str">
        <f>+IF('Exportación por envase'!L63="","",'Exportación por envase'!L63)</f>
        <v/>
      </c>
      <c r="R54" s="26">
        <f>+IF('Exportación por envase'!J81="","",'Exportación por envase'!J81)</f>
        <v>4.649</v>
      </c>
      <c r="S54" s="26" t="str">
        <f>+IF('Exportación por envase'!K81="","",'Exportación por envase'!K81)</f>
        <v/>
      </c>
      <c r="T54" s="22" t="str">
        <f>+IF('Exportación por envase'!L81="","",'Exportación por envase'!L81)</f>
        <v/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60.97</v>
      </c>
      <c r="P55" s="20" t="str">
        <f>+IF('Exportación por envase'!K64="","",'Exportación por envase'!K64)</f>
        <v/>
      </c>
      <c r="Q55" s="21" t="str">
        <f>+IF('Exportación por envase'!L64="","",'Exportación por envase'!L64)</f>
        <v/>
      </c>
      <c r="R55" s="26">
        <f>+IF('Exportación por envase'!J82="","",'Exportación por envase'!J82)</f>
        <v>3.6880000000000002</v>
      </c>
      <c r="S55" s="26" t="str">
        <f>+IF('Exportación por envase'!K82="","",'Exportación por envase'!K82)</f>
        <v/>
      </c>
      <c r="T55" s="22" t="str">
        <f>+IF('Exportación por envase'!L82="","",'Exportación por envase'!L82)</f>
        <v/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45.591000000000001</v>
      </c>
      <c r="P56" s="20" t="str">
        <f>+IF('Exportación por envase'!K65="","",'Exportación por envase'!K65)</f>
        <v/>
      </c>
      <c r="Q56" s="21" t="str">
        <f>+IF('Exportación por envase'!L65="","",'Exportación por envase'!L65)</f>
        <v/>
      </c>
      <c r="R56" s="26">
        <f>+IF('Exportación por envase'!J83="","",'Exportación por envase'!J83)</f>
        <v>2.3370000000000002</v>
      </c>
      <c r="S56" s="26" t="str">
        <f>+IF('Exportación por envase'!K83="","",'Exportación por envase'!K83)</f>
        <v/>
      </c>
      <c r="T56" s="22" t="str">
        <f>+IF('Exportación por envase'!L83="","",'Exportación por envase'!L83)</f>
        <v/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 t="str">
        <f>+IF('Exportación por envase'!K66="","",'Exportación por envase'!K66)</f>
        <v/>
      </c>
      <c r="Q57" s="21" t="str">
        <f>+IF('Exportación por envase'!L66="","",'Exportación por envase'!L66)</f>
        <v/>
      </c>
      <c r="R57" s="26">
        <f>+IF('Exportación por envase'!J84="","",'Exportación por envase'!J84)</f>
        <v>5.9580000000000002</v>
      </c>
      <c r="S57" s="26" t="str">
        <f>+IF('Exportación por envase'!K84="","",'Exportación por envase'!K84)</f>
        <v/>
      </c>
      <c r="T57" s="22" t="str">
        <f>+IF('Exportación por envase'!L84="","",'Exportación por envase'!L84)</f>
        <v/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 t="str">
        <f>+IF('Exportación por envase'!K67="","",'Exportación por envase'!K67)</f>
        <v/>
      </c>
      <c r="Q58" s="21" t="str">
        <f>+IF('Exportación por envase'!L67="","",'Exportación por envase'!L67)</f>
        <v/>
      </c>
      <c r="R58" s="26">
        <f>+IF('Exportación por envase'!J85="","",'Exportación por envase'!J85)</f>
        <v>4.8650000000000002</v>
      </c>
      <c r="S58" s="26" t="str">
        <f>+IF('Exportación por envase'!K85="","",'Exportación por envase'!K85)</f>
        <v/>
      </c>
      <c r="T58" s="22" t="str">
        <f>+IF('Exportación por envase'!L85="","",'Exportación por envase'!L85)</f>
        <v/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 t="str">
        <f>+IF('Exportación por envase'!K68="","",'Exportación por envase'!K68)</f>
        <v/>
      </c>
      <c r="Q59" s="21" t="str">
        <f>+IF('Exportación por envase'!L68="","",'Exportación por envase'!L68)</f>
        <v/>
      </c>
      <c r="R59" s="26">
        <f>+IF('Exportación por envase'!J86="","",'Exportación por envase'!J86)</f>
        <v>4.01</v>
      </c>
      <c r="S59" s="26" t="str">
        <f>+IF('Exportación por envase'!K86="","",'Exportación por envase'!K86)</f>
        <v/>
      </c>
      <c r="T59" s="22" t="str">
        <f>+IF('Exportación por envase'!L86="","",'Exportación por envase'!L86)</f>
        <v/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 t="str">
        <f>+IF('Exportación por envase'!K69="","",'Exportación por envase'!K69)</f>
        <v/>
      </c>
      <c r="Q60" s="21" t="str">
        <f>+IF('Exportación por envase'!L69="","",'Exportación por envase'!L69)</f>
        <v/>
      </c>
      <c r="R60" s="26">
        <f>+IF('Exportación por envase'!J87="","",'Exportación por envase'!J87)</f>
        <v>5.8419999999999996</v>
      </c>
      <c r="S60" s="26" t="str">
        <f>+IF('Exportación por envase'!K87="","",'Exportación por envase'!K87)</f>
        <v/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 t="str">
        <f>+IF('Exportación por envase'!K70="","",'Exportación por envase'!K70)</f>
        <v/>
      </c>
      <c r="Q61" s="21" t="str">
        <f>+IF('Exportación por envase'!L70="","",'Exportación por envase'!L70)</f>
        <v/>
      </c>
      <c r="R61" s="26">
        <f>+IF('Exportación por envase'!J88="","",'Exportación por envase'!J88)</f>
        <v>4.7619999999999996</v>
      </c>
      <c r="S61" s="26" t="str">
        <f>+IF('Exportación por envase'!K88="","",'Exportación por envase'!K88)</f>
        <v/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06" t="s">
        <v>174</v>
      </c>
      <c r="P64" s="307"/>
      <c r="Q64" s="308"/>
      <c r="R64" s="306" t="s">
        <v>175</v>
      </c>
      <c r="S64" s="307"/>
      <c r="T64" s="309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 t="str">
        <f>+IF('Exportación por envase'!K116="","",'Exportación por envase'!K116)</f>
        <v/>
      </c>
      <c r="Q69" s="21" t="str">
        <f>+IF('Exportación por envase'!L116="","",'Exportación por envase'!L116)</f>
        <v/>
      </c>
      <c r="R69" s="26">
        <f>+IF('Exportación por envase'!J134="","",'Exportación por envase'!J134)</f>
        <v>0.9765780905367083</v>
      </c>
      <c r="S69" s="26" t="str">
        <f>+IF('Exportación por envase'!K134="","",'Exportación por envase'!K134)</f>
        <v/>
      </c>
      <c r="T69" s="22" t="str">
        <f>+IF('Exportación por envase'!L134="","",'Exportación por envase'!L134)</f>
        <v/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4.0855301070801557</v>
      </c>
      <c r="P70" s="26" t="str">
        <f>+IF('Exportación por envase'!K117="","",'Exportación por envase'!K117)</f>
        <v/>
      </c>
      <c r="Q70" s="21" t="str">
        <f>+IF('Exportación por envase'!L117="","",'Exportación por envase'!L117)</f>
        <v/>
      </c>
      <c r="R70" s="26">
        <f>+IF('Exportación por envase'!J135="","",'Exportación por envase'!J135)</f>
        <v>1.0525414538086133</v>
      </c>
      <c r="S70" s="26" t="str">
        <f>+IF('Exportación por envase'!K135="","",'Exportación por envase'!K135)</f>
        <v/>
      </c>
      <c r="T70" s="22" t="str">
        <f>+IF('Exportación por envase'!L135="","",'Exportación por envase'!L135)</f>
        <v/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4.5808590806330063</v>
      </c>
      <c r="P71" s="26" t="str">
        <f>+IF('Exportación por envase'!K118="","",'Exportación por envase'!K118)</f>
        <v/>
      </c>
      <c r="Q71" s="21" t="str">
        <f>+IF('Exportación por envase'!L118="","",'Exportación por envase'!L118)</f>
        <v/>
      </c>
      <c r="R71" s="26">
        <f>+IF('Exportación por envase'!J136="","",'Exportación por envase'!J136)</f>
        <v>0.93704891740176421</v>
      </c>
      <c r="S71" s="26" t="str">
        <f>+IF('Exportación por envase'!K136="","",'Exportación por envase'!K136)</f>
        <v/>
      </c>
      <c r="T71" s="22" t="str">
        <f>+IF('Exportación por envase'!L136="","",'Exportación por envase'!L136)</f>
        <v/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 t="str">
        <f>+IF('Exportación por envase'!K119="","",'Exportación por envase'!K119)</f>
        <v/>
      </c>
      <c r="Q72" s="21" t="str">
        <f>+IF('Exportación por envase'!L119="","",'Exportación por envase'!L119)</f>
        <v/>
      </c>
      <c r="R72" s="26">
        <f>+IF('Exportación por envase'!J137="","",'Exportación por envase'!J137)</f>
        <v>1.0134721371708513</v>
      </c>
      <c r="S72" s="26" t="str">
        <f>+IF('Exportación por envase'!K137="","",'Exportación por envase'!K137)</f>
        <v/>
      </c>
      <c r="T72" s="22" t="str">
        <f>+IF('Exportación por envase'!L137="","",'Exportación por envase'!L137)</f>
        <v/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 t="str">
        <f>+IF('Exportación por envase'!K120="","",'Exportación por envase'!K120)</f>
        <v/>
      </c>
      <c r="Q73" s="21" t="str">
        <f>+IF('Exportación por envase'!L120="","",'Exportación por envase'!L120)</f>
        <v/>
      </c>
      <c r="R73" s="26">
        <f>+IF('Exportación por envase'!J138="","",'Exportación por envase'!J138)</f>
        <v>0.99672198320016392</v>
      </c>
      <c r="S73" s="26" t="str">
        <f>+IF('Exportación por envase'!K138="","",'Exportación por envase'!K138)</f>
        <v/>
      </c>
      <c r="T73" s="22" t="str">
        <f>+IF('Exportación por envase'!L138="","",'Exportación por envase'!L138)</f>
        <v/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 t="str">
        <f>+IF('Exportación por envase'!K121="","",'Exportación por envase'!K121)</f>
        <v/>
      </c>
      <c r="Q74" s="21" t="str">
        <f>+IF('Exportación por envase'!L121="","",'Exportación por envase'!L121)</f>
        <v/>
      </c>
      <c r="R74" s="26">
        <f>+IF('Exportación por envase'!J139="","",'Exportación por envase'!J139)</f>
        <v>0.98768472906403948</v>
      </c>
      <c r="S74" s="26" t="str">
        <f>+IF('Exportación por envase'!K139="","",'Exportación por envase'!K139)</f>
        <v/>
      </c>
      <c r="T74" s="22" t="str">
        <f>+IF('Exportación por envase'!L139="","",'Exportación por envase'!L139)</f>
        <v/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 t="str">
        <f>+IF('Exportación por envase'!K122="","",'Exportación por envase'!K122)</f>
        <v/>
      </c>
      <c r="Q75" s="21" t="str">
        <f>+IF('Exportación por envase'!L122="","",'Exportación por envase'!L122)</f>
        <v/>
      </c>
      <c r="R75" s="26">
        <f>+IF('Exportación por envase'!J140="","",'Exportación por envase'!J140)</f>
        <v>1.0714351215038973</v>
      </c>
      <c r="S75" s="26" t="str">
        <f>+IF('Exportación por envase'!K140="","",'Exportación por envase'!K140)</f>
        <v/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 t="str">
        <f>+IF('Exportación por envase'!K123="","",'Exportación por envase'!K123)</f>
        <v/>
      </c>
      <c r="Q76" s="21" t="str">
        <f>+IF('Exportación por envase'!L123="","",'Exportación por envase'!L123)</f>
        <v/>
      </c>
      <c r="R76" s="26">
        <f>+IF('Exportación por envase'!J141="","",'Exportación por envase'!J141)</f>
        <v>0.93843607125965622</v>
      </c>
      <c r="S76" s="26" t="str">
        <f>+IF('Exportación por envase'!K141="","",'Exportación por envase'!K141)</f>
        <v/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06" t="s">
        <v>178</v>
      </c>
      <c r="M79" s="307"/>
      <c r="N79" s="308"/>
      <c r="O79" s="306" t="s">
        <v>179</v>
      </c>
      <c r="P79" s="307"/>
      <c r="Q79" s="312"/>
      <c r="R79" s="313" t="s">
        <v>180</v>
      </c>
      <c r="S79" s="307"/>
      <c r="T79" s="309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 t="str">
        <f>+IF('Exportación por varietal'!K10="","",'Exportación por varietal'!K10)</f>
        <v/>
      </c>
      <c r="N84" s="21" t="str">
        <f>+IF('Exportación por varietal'!L10="","",'Exportación por varietal'!L10)</f>
        <v/>
      </c>
      <c r="O84" s="203">
        <f>+IF('Exportación por varietal'!J28="","",'Exportación por varietal'!J28)</f>
        <v>1.6317999999999999</v>
      </c>
      <c r="P84" s="203" t="str">
        <f>+IF('Exportación por varietal'!K28="","",'Exportación por varietal'!K28)</f>
        <v/>
      </c>
      <c r="Q84" s="21" t="str">
        <f>+IF('Exportación por varietal'!L28="","",'Exportación por varietal'!L28)</f>
        <v/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</v>
      </c>
      <c r="T84" s="22">
        <f>+IF('Exportación por varietal'!L100="","",'Exportación por varietal'!L100)</f>
        <v>-1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 t="str">
        <f>+IF('Exportación por varietal'!K11="","",'Exportación por varietal'!K11)</f>
        <v/>
      </c>
      <c r="N85" s="21" t="str">
        <f>+IF('Exportación por varietal'!L11="","",'Exportación por varietal'!L11)</f>
        <v/>
      </c>
      <c r="O85" s="203">
        <f>+IF('Exportación por varietal'!J29="","",'Exportación por varietal'!J29)</f>
        <v>1.6143000000000001</v>
      </c>
      <c r="P85" s="203" t="str">
        <f>+IF('Exportación por varietal'!K29="","",'Exportación por varietal'!K29)</f>
        <v/>
      </c>
      <c r="Q85" s="21" t="str">
        <f>+IF('Exportación por varietal'!L29="","",'Exportación por varietal'!L29)</f>
        <v/>
      </c>
      <c r="R85" s="203">
        <f>+IF('Exportación por varietal'!J101="","",'Exportación por varietal'!J101)</f>
        <v>0.73350000000000004</v>
      </c>
      <c r="S85" s="203" t="str">
        <f>+IF('Exportación por varietal'!K101="","",'Exportación por varietal'!K101)</f>
        <v/>
      </c>
      <c r="T85" s="22" t="str">
        <f>+IF('Exportación por varietal'!L101="","",'Exportación por varietal'!L101)</f>
        <v/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 t="str">
        <f>+IF('Exportación por varietal'!K12="","",'Exportación por varietal'!K12)</f>
        <v/>
      </c>
      <c r="N86" s="21" t="str">
        <f>+IF('Exportación por varietal'!L12="","",'Exportación por varietal'!L12)</f>
        <v/>
      </c>
      <c r="O86" s="203">
        <f>+IF('Exportación por varietal'!J30="","",'Exportación por varietal'!J30)</f>
        <v>0.98929999999999996</v>
      </c>
      <c r="P86" s="203" t="str">
        <f>+IF('Exportación por varietal'!K30="","",'Exportación por varietal'!K30)</f>
        <v/>
      </c>
      <c r="Q86" s="21" t="str">
        <f>+IF('Exportación por varietal'!L30="","",'Exportación por varietal'!L30)</f>
        <v/>
      </c>
      <c r="R86" s="203">
        <f>+IF('Exportación por varietal'!J102="","",'Exportación por varietal'!J102)</f>
        <v>0.67520000000000002</v>
      </c>
      <c r="S86" s="203" t="str">
        <f>+IF('Exportación por varietal'!K102="","",'Exportación por varietal'!K102)</f>
        <v/>
      </c>
      <c r="T86" s="22" t="str">
        <f>+IF('Exportación por varietal'!L102="","",'Exportación por varietal'!L102)</f>
        <v/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 t="str">
        <f>+IF('Exportación por varietal'!K13="","",'Exportación por varietal'!K13)</f>
        <v/>
      </c>
      <c r="N87" s="21" t="str">
        <f>+IF('Exportación por varietal'!L13="","",'Exportación por varietal'!L13)</f>
        <v/>
      </c>
      <c r="O87" s="203">
        <f>+IF('Exportación por varietal'!J31="","",'Exportación por varietal'!J31)</f>
        <v>1.9642999999999999</v>
      </c>
      <c r="P87" s="203" t="str">
        <f>+IF('Exportación por varietal'!K31="","",'Exportación por varietal'!K31)</f>
        <v/>
      </c>
      <c r="Q87" s="21" t="str">
        <f>+IF('Exportación por varietal'!L31="","",'Exportación por varietal'!L31)</f>
        <v/>
      </c>
      <c r="R87" s="203">
        <f>+IF('Exportación por varietal'!J103="","",'Exportación por varietal'!J103)</f>
        <v>1.0964</v>
      </c>
      <c r="S87" s="203" t="str">
        <f>+IF('Exportación por varietal'!K103="","",'Exportación por varietal'!K103)</f>
        <v/>
      </c>
      <c r="T87" s="22" t="str">
        <f>+IF('Exportación por varietal'!L103="","",'Exportación por varietal'!L103)</f>
        <v/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 t="str">
        <f>+IF('Exportación por varietal'!K14="","",'Exportación por varietal'!K14)</f>
        <v/>
      </c>
      <c r="N88" s="21" t="str">
        <f>+IF('Exportación por varietal'!L14="","",'Exportación por varietal'!L14)</f>
        <v/>
      </c>
      <c r="O88" s="203">
        <f>+IF('Exportación por varietal'!J32="","",'Exportación por varietal'!J32)</f>
        <v>1.6415999999999999</v>
      </c>
      <c r="P88" s="203" t="str">
        <f>+IF('Exportación por varietal'!K32="","",'Exportación por varietal'!K32)</f>
        <v/>
      </c>
      <c r="Q88" s="21" t="str">
        <f>+IF('Exportación por varietal'!L32="","",'Exportación por varietal'!L32)</f>
        <v/>
      </c>
      <c r="R88" s="203">
        <f>+IF('Exportación por varietal'!J104="","",'Exportación por varietal'!J104)</f>
        <v>1.0489999999999999</v>
      </c>
      <c r="S88" s="203" t="str">
        <f>+IF('Exportación por varietal'!K104="","",'Exportación por varietal'!K104)</f>
        <v/>
      </c>
      <c r="T88" s="22" t="str">
        <f>+IF('Exportación por varietal'!L104="","",'Exportación por varietal'!L104)</f>
        <v/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 t="str">
        <f>+IF('Exportación por varietal'!K15="","",'Exportación por varietal'!K15)</f>
        <v/>
      </c>
      <c r="N89" s="21" t="str">
        <f>+IF('Exportación por varietal'!L15="","",'Exportación por varietal'!L15)</f>
        <v/>
      </c>
      <c r="O89" s="203">
        <f>+IF('Exportación por varietal'!J33="","",'Exportación por varietal'!J33)</f>
        <v>1.5530999999999999</v>
      </c>
      <c r="P89" s="203" t="str">
        <f>+IF('Exportación por varietal'!K33="","",'Exportación por varietal'!K33)</f>
        <v/>
      </c>
      <c r="Q89" s="21" t="str">
        <f>+IF('Exportación por varietal'!L33="","",'Exportación por varietal'!L33)</f>
        <v/>
      </c>
      <c r="R89" s="203">
        <f>+IF('Exportación por varietal'!J105="","",'Exportación por varietal'!J105)</f>
        <v>0.7984</v>
      </c>
      <c r="S89" s="203" t="str">
        <f>+IF('Exportación por varietal'!K105="","",'Exportación por varietal'!K105)</f>
        <v/>
      </c>
      <c r="T89" s="22" t="str">
        <f>+IF('Exportación por varietal'!L105="","",'Exportación por varietal'!L105)</f>
        <v/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 t="str">
        <f>+IF('Exportación por varietal'!K16="","",'Exportación por varietal'!K16)</f>
        <v/>
      </c>
      <c r="N90" s="21" t="str">
        <f>+IF('Exportación por varietal'!L16="","",'Exportación por varietal'!L16)</f>
        <v/>
      </c>
      <c r="O90" s="203">
        <f>+IF('Exportación por varietal'!J34="","",'Exportación por varietal'!J34)</f>
        <v>1.4677</v>
      </c>
      <c r="P90" s="203" t="str">
        <f>+IF('Exportación por varietal'!K34="","",'Exportación por varietal'!K34)</f>
        <v/>
      </c>
      <c r="Q90" s="21" t="str">
        <f>+IF('Exportación por varietal'!L34="","",'Exportación por varietal'!L34)</f>
        <v/>
      </c>
      <c r="R90" s="203">
        <f>+IF('Exportación por varietal'!J106="","",'Exportación por varietal'!J106)</f>
        <v>1.0439000000000001</v>
      </c>
      <c r="S90" s="203" t="str">
        <f>+IF('Exportación por varietal'!K106="","",'Exportación por varietal'!K106)</f>
        <v/>
      </c>
      <c r="T90" s="22" t="str">
        <f>+IF('Exportación por varietal'!L106="","",'Exportación por varietal'!L106)</f>
        <v/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06" t="s">
        <v>178</v>
      </c>
      <c r="M94" s="307"/>
      <c r="N94" s="308"/>
      <c r="O94" s="306" t="s">
        <v>179</v>
      </c>
      <c r="P94" s="307"/>
      <c r="Q94" s="312"/>
      <c r="R94" s="313" t="s">
        <v>180</v>
      </c>
      <c r="S94" s="307"/>
      <c r="T94" s="309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 t="str">
        <f>+IF('Exportación por varietal'!K171="","",'Exportación por varietal'!K171)</f>
        <v/>
      </c>
      <c r="N99" s="21" t="str">
        <f>+IF('Exportación por varietal'!L171="","",'Exportación por varietal'!L171)</f>
        <v/>
      </c>
      <c r="O99" s="203">
        <f>+IF('Exportación por varietal'!J189="","",'Exportación por varietal'!J189)</f>
        <v>6.1529999999999996</v>
      </c>
      <c r="P99" s="203" t="str">
        <f>+IF('Exportación por varietal'!K189="","",'Exportación por varietal'!K189)</f>
        <v/>
      </c>
      <c r="Q99" s="21" t="str">
        <f>+IF('Exportación por varietal'!L189="","",'Exportación por varietal'!L189)</f>
        <v/>
      </c>
      <c r="R99" s="203">
        <f>+IF('Exportación por varietal'!J261="","",'Exportación por varietal'!J261)</f>
        <v>2.911</v>
      </c>
      <c r="S99" s="203" t="str">
        <f>+IF('Exportación por varietal'!K261="","",'Exportación por varietal'!K261)</f>
        <v/>
      </c>
      <c r="T99" s="22" t="str">
        <f>+IF('Exportación por varietal'!L261="","",'Exportación por varietal'!L261)</f>
        <v/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 t="str">
        <f>+IF('Exportación por varietal'!K172="","",'Exportación por varietal'!K172)</f>
        <v/>
      </c>
      <c r="N100" s="21" t="str">
        <f>+IF('Exportación por varietal'!L172="","",'Exportación por varietal'!L172)</f>
        <v/>
      </c>
      <c r="O100" s="203">
        <f>+IF('Exportación por varietal'!J190="","",'Exportación por varietal'!J190)</f>
        <v>5.5960000000000001</v>
      </c>
      <c r="P100" s="203" t="str">
        <f>+IF('Exportación por varietal'!K190="","",'Exportación por varietal'!K190)</f>
        <v/>
      </c>
      <c r="Q100" s="21" t="str">
        <f>+IF('Exportación por varietal'!L190="","",'Exportación por varietal'!L190)</f>
        <v/>
      </c>
      <c r="R100" s="203">
        <f>+IF('Exportación por varietal'!J262="","",'Exportación por varietal'!J262)</f>
        <v>3.5880000000000001</v>
      </c>
      <c r="S100" s="203" t="str">
        <f>+IF('Exportación por varietal'!K262="","",'Exportación por varietal'!K262)</f>
        <v/>
      </c>
      <c r="T100" s="22" t="str">
        <f>+IF('Exportación por varietal'!L262="","",'Exportación por varietal'!L262)</f>
        <v/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 t="str">
        <f>+IF('Exportación por varietal'!K173="","",'Exportación por varietal'!K173)</f>
        <v/>
      </c>
      <c r="N101" s="21" t="str">
        <f>+IF('Exportación por varietal'!L173="","",'Exportación por varietal'!L173)</f>
        <v/>
      </c>
      <c r="O101" s="203">
        <f>+IF('Exportación por varietal'!J191="","",'Exportación por varietal'!J191)</f>
        <v>3.7469999999999999</v>
      </c>
      <c r="P101" s="203" t="str">
        <f>+IF('Exportación por varietal'!K191="","",'Exportación por varietal'!K191)</f>
        <v/>
      </c>
      <c r="Q101" s="21" t="str">
        <f>+IF('Exportación por varietal'!L191="","",'Exportación por varietal'!L191)</f>
        <v/>
      </c>
      <c r="R101" s="203">
        <f>+IF('Exportación por varietal'!J263="","",'Exportación por varietal'!J263)</f>
        <v>2.903</v>
      </c>
      <c r="S101" s="203" t="str">
        <f>+IF('Exportación por varietal'!K263="","",'Exportación por varietal'!K263)</f>
        <v/>
      </c>
      <c r="T101" s="22" t="str">
        <f>+IF('Exportación por varietal'!L263="","",'Exportación por varietal'!L263)</f>
        <v/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 t="str">
        <f>+IF('Exportación por varietal'!K174="","",'Exportación por varietal'!K174)</f>
        <v/>
      </c>
      <c r="N102" s="21" t="str">
        <f>+IF('Exportación por varietal'!L174="","",'Exportación por varietal'!L174)</f>
        <v/>
      </c>
      <c r="O102" s="203">
        <f>+IF('Exportación por varietal'!J192="","",'Exportación por varietal'!J192)</f>
        <v>7.6440000000000001</v>
      </c>
      <c r="P102" s="203" t="str">
        <f>+IF('Exportación por varietal'!K192="","",'Exportación por varietal'!K192)</f>
        <v/>
      </c>
      <c r="Q102" s="21" t="str">
        <f>+IF('Exportación por varietal'!L192="","",'Exportación por varietal'!L192)</f>
        <v/>
      </c>
      <c r="R102" s="203">
        <f>+IF('Exportación por varietal'!J264="","",'Exportación por varietal'!J264)</f>
        <v>4.8140000000000001</v>
      </c>
      <c r="S102" s="203" t="str">
        <f>+IF('Exportación por varietal'!K264="","",'Exportación por varietal'!K264)</f>
        <v/>
      </c>
      <c r="T102" s="22" t="str">
        <f>+IF('Exportación por varietal'!L264="","",'Exportación por varietal'!L264)</f>
        <v/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 t="str">
        <f>+IF('Exportación por varietal'!K175="","",'Exportación por varietal'!K175)</f>
        <v/>
      </c>
      <c r="N103" s="21" t="str">
        <f>+IF('Exportación por varietal'!L175="","",'Exportación por varietal'!L175)</f>
        <v/>
      </c>
      <c r="O103" s="203">
        <f>+IF('Exportación por varietal'!J193="","",'Exportación por varietal'!J193)</f>
        <v>6.327</v>
      </c>
      <c r="P103" s="203" t="str">
        <f>+IF('Exportación por varietal'!K193="","",'Exportación por varietal'!K193)</f>
        <v/>
      </c>
      <c r="Q103" s="21" t="str">
        <f>+IF('Exportación por varietal'!L193="","",'Exportación por varietal'!L193)</f>
        <v/>
      </c>
      <c r="R103" s="203">
        <f>+IF('Exportación por varietal'!J265="","",'Exportación por varietal'!J265)</f>
        <v>4.0250000000000004</v>
      </c>
      <c r="S103" s="203" t="str">
        <f>+IF('Exportación por varietal'!K265="","",'Exportación por varietal'!K265)</f>
        <v/>
      </c>
      <c r="T103" s="22" t="str">
        <f>+IF('Exportación por varietal'!L265="","",'Exportación por varietal'!L265)</f>
        <v/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 t="str">
        <f>+IF('Exportación por varietal'!K176="","",'Exportación por varietal'!K176)</f>
        <v/>
      </c>
      <c r="N104" s="21" t="str">
        <f>+IF('Exportación por varietal'!L176="","",'Exportación por varietal'!L176)</f>
        <v/>
      </c>
      <c r="O104" s="203">
        <f>+IF('Exportación por varietal'!J194="","",'Exportación por varietal'!J194)</f>
        <v>5.7370000000000001</v>
      </c>
      <c r="P104" s="203" t="str">
        <f>+IF('Exportación por varietal'!K194="","",'Exportación por varietal'!K194)</f>
        <v/>
      </c>
      <c r="Q104" s="21" t="str">
        <f>+IF('Exportación por varietal'!L194="","",'Exportación por varietal'!L194)</f>
        <v/>
      </c>
      <c r="R104" s="203">
        <f>+IF('Exportación por varietal'!J266="","",'Exportación por varietal'!J266)</f>
        <v>3.1829999999999998</v>
      </c>
      <c r="S104" s="203" t="str">
        <f>+IF('Exportación por varietal'!K266="","",'Exportación por varietal'!K266)</f>
        <v/>
      </c>
      <c r="T104" s="22" t="str">
        <f>+IF('Exportación por varietal'!L266="","",'Exportación por varietal'!L266)</f>
        <v/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 t="str">
        <f>+IF('Exportación por varietal'!K177="","",'Exportación por varietal'!K177)</f>
        <v/>
      </c>
      <c r="N105" s="21" t="str">
        <f>+IF('Exportación por varietal'!L177="","",'Exportación por varietal'!L177)</f>
        <v/>
      </c>
      <c r="O105" s="203">
        <f>+IF('Exportación por varietal'!J195="","",'Exportación por varietal'!J195)</f>
        <v>5.9749999999999996</v>
      </c>
      <c r="P105" s="203" t="str">
        <f>+IF('Exportación por varietal'!K195="","",'Exportación por varietal'!K195)</f>
        <v/>
      </c>
      <c r="Q105" s="21" t="str">
        <f>+IF('Exportación por varietal'!L195="","",'Exportación por varietal'!L195)</f>
        <v/>
      </c>
      <c r="R105" s="203">
        <f>+IF('Exportación por varietal'!J267="","",'Exportación por varietal'!J267)</f>
        <v>4.3440000000000003</v>
      </c>
      <c r="S105" s="203" t="str">
        <f>+IF('Exportación por varietal'!K267="","",'Exportación por varietal'!K267)</f>
        <v/>
      </c>
      <c r="T105" s="22" t="str">
        <f>+IF('Exportación por varietal'!L267="","",'Exportación por varietal'!L267)</f>
        <v/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06" t="s">
        <v>181</v>
      </c>
      <c r="D124" s="307"/>
      <c r="E124" s="308"/>
      <c r="F124" s="306" t="s">
        <v>182</v>
      </c>
      <c r="G124" s="307"/>
      <c r="H124" s="312"/>
      <c r="I124" s="313" t="s">
        <v>183</v>
      </c>
      <c r="J124" s="307"/>
      <c r="K124" s="314"/>
      <c r="L124" s="315" t="s">
        <v>184</v>
      </c>
      <c r="M124" s="307"/>
      <c r="N124" s="314"/>
      <c r="O124" s="315" t="s">
        <v>185</v>
      </c>
      <c r="P124" s="307"/>
      <c r="Q124" s="314"/>
      <c r="R124" s="315" t="s">
        <v>186</v>
      </c>
      <c r="S124" s="307"/>
      <c r="T124" s="309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3.588409</v>
      </c>
      <c r="E128" s="21">
        <f>+IF('Exportación por país'!L9="","",'Exportación por país'!L9)</f>
        <v>-0.17608243379734256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3.588409</v>
      </c>
      <c r="H128" s="21">
        <f>+IF('Exportación por país'!L27="","",'Exportación por país'!L27)</f>
        <v>-0.16217570404358239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0.83204900000000004</v>
      </c>
      <c r="K128" s="21">
        <f>+IF('Exportación por país'!L45="","",'Exportación por país'!L45)</f>
        <v>-0.59106620749513805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1.8280270000000001</v>
      </c>
      <c r="N128" s="21">
        <f>+IF('Exportación por país'!L63="","",'Exportación por país'!L63)</f>
        <v>1.7791321877437216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 t="str">
        <f>+IF('Exportación por país'!K10="","",'Exportación por país'!K10)</f>
        <v/>
      </c>
      <c r="E129" s="21" t="str">
        <f>+IF('Exportación por país'!L10="","",'Exportación por país'!L10)</f>
        <v/>
      </c>
      <c r="F129" s="203">
        <f>+IF('Exportación por país'!J28="","",'Exportación por país'!J28)</f>
        <v>3.9892880000000002</v>
      </c>
      <c r="G129" s="203" t="str">
        <f>+IF('Exportación por país'!K28="","",'Exportación por país'!K28)</f>
        <v/>
      </c>
      <c r="H129" s="21" t="str">
        <f>+IF('Exportación por país'!L28="","",'Exportación por país'!L28)</f>
        <v/>
      </c>
      <c r="I129" s="203">
        <f>+IF('Exportación por país'!J46="","",'Exportación por país'!J46)</f>
        <v>1.8972579999999999</v>
      </c>
      <c r="J129" s="203" t="str">
        <f>+IF('Exportación por país'!K46="","",'Exportación por país'!K46)</f>
        <v/>
      </c>
      <c r="K129" s="21" t="str">
        <f>+IF('Exportación por país'!L46="","",'Exportación por país'!L46)</f>
        <v/>
      </c>
      <c r="L129" s="203">
        <f>+IF('Exportación por país'!J64="","",'Exportación por país'!J64)</f>
        <v>0.73007599999999995</v>
      </c>
      <c r="M129" s="203" t="str">
        <f>+IF('Exportación por país'!K64="","",'Exportación por país'!K64)</f>
        <v/>
      </c>
      <c r="N129" s="21" t="str">
        <f>+IF('Exportación por país'!L64="","",'Exportación por país'!L64)</f>
        <v/>
      </c>
      <c r="O129" s="203">
        <f>+IF('Exportación por país'!J82="","",'Exportación por país'!J82)</f>
        <v>0.36837199999999998</v>
      </c>
      <c r="P129" s="203" t="str">
        <f>+IF('Exportación por país'!K82="","",'Exportación por país'!K82)</f>
        <v/>
      </c>
      <c r="Q129" s="21" t="str">
        <f>+IF('Exportación por país'!L82="","",'Exportación por país'!L82)</f>
        <v/>
      </c>
      <c r="R129" s="203">
        <f>+IF('Exportación por país'!J100="","",'Exportación por país'!J100)</f>
        <v>0.177453</v>
      </c>
      <c r="S129" s="203" t="str">
        <f>+IF('Exportación por país'!K100="","",'Exportación por país'!K100)</f>
        <v/>
      </c>
      <c r="T129" s="22" t="str">
        <f>+IF('Exportación por país'!L100="","",'Exportación por país'!L100)</f>
        <v/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 t="str">
        <f>+IF('Exportación por país'!K11="","",'Exportación por país'!K11)</f>
        <v/>
      </c>
      <c r="E130" s="21" t="str">
        <f>+IF('Exportación por país'!L11="","",'Exportación por país'!L11)</f>
        <v/>
      </c>
      <c r="F130" s="203">
        <f>+IF('Exportación por país'!J29="","",'Exportación por país'!J29)</f>
        <v>3.8097409999999998</v>
      </c>
      <c r="G130" s="203" t="str">
        <f>+IF('Exportación por país'!K29="","",'Exportación por país'!K29)</f>
        <v/>
      </c>
      <c r="H130" s="21" t="str">
        <f>+IF('Exportación por país'!L29="","",'Exportación por país'!L29)</f>
        <v/>
      </c>
      <c r="I130" s="203">
        <f>+IF('Exportación por país'!J47="","",'Exportación por país'!J47)</f>
        <v>1.0065759999999999</v>
      </c>
      <c r="J130" s="203" t="str">
        <f>+IF('Exportación por país'!K47="","",'Exportación por país'!K47)</f>
        <v/>
      </c>
      <c r="K130" s="21" t="str">
        <f>+IF('Exportación por país'!L47="","",'Exportación por país'!L47)</f>
        <v/>
      </c>
      <c r="L130" s="203">
        <f>+IF('Exportación por país'!J65="","",'Exportación por país'!J65)</f>
        <v>3.0641940000000001</v>
      </c>
      <c r="M130" s="203" t="str">
        <f>+IF('Exportación por país'!K65="","",'Exportación por país'!K65)</f>
        <v/>
      </c>
      <c r="N130" s="21" t="str">
        <f>+IF('Exportación por país'!L65="","",'Exportación por país'!L65)</f>
        <v/>
      </c>
      <c r="O130" s="203">
        <f>+IF('Exportación por país'!J83="","",'Exportación por país'!J83)</f>
        <v>0.57111000000000001</v>
      </c>
      <c r="P130" s="203" t="str">
        <f>+IF('Exportación por país'!K83="","",'Exportación por país'!K83)</f>
        <v/>
      </c>
      <c r="Q130" s="21" t="str">
        <f>+IF('Exportación por país'!L83="","",'Exportación por país'!L83)</f>
        <v/>
      </c>
      <c r="R130" s="203">
        <f>+IF('Exportación por país'!J101="","",'Exportación por país'!J101)</f>
        <v>0.20812900000000001</v>
      </c>
      <c r="S130" s="203" t="str">
        <f>+IF('Exportación por país'!K101="","",'Exportación por país'!K101)</f>
        <v/>
      </c>
      <c r="T130" s="22" t="str">
        <f>+IF('Exportación por país'!L101="","",'Exportación por país'!L101)</f>
        <v/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 t="str">
        <f>+IF('Exportación por país'!K12="","",'Exportación por país'!K12)</f>
        <v/>
      </c>
      <c r="E131" s="21" t="str">
        <f>+IF('Exportación por país'!L12="","",'Exportación por país'!L12)</f>
        <v/>
      </c>
      <c r="F131" s="203">
        <f>+IF('Exportación por país'!J30="","",'Exportación por país'!J30)</f>
        <v>1.6651899999999999</v>
      </c>
      <c r="G131" s="203" t="str">
        <f>+IF('Exportación por país'!K30="","",'Exportación por país'!K30)</f>
        <v/>
      </c>
      <c r="H131" s="21" t="str">
        <f>+IF('Exportación por país'!L30="","",'Exportación por país'!L30)</f>
        <v/>
      </c>
      <c r="I131" s="203">
        <f>+IF('Exportación por país'!J48="","",'Exportación por país'!J48)</f>
        <v>0.266399</v>
      </c>
      <c r="J131" s="203" t="str">
        <f>+IF('Exportación por país'!K48="","",'Exportación por país'!K48)</f>
        <v/>
      </c>
      <c r="K131" s="21" t="str">
        <f>+IF('Exportación por país'!L48="","",'Exportación por país'!L48)</f>
        <v/>
      </c>
      <c r="L131" s="203">
        <f>+IF('Exportación por país'!J66="","",'Exportación por país'!J66)</f>
        <v>2.686509</v>
      </c>
      <c r="M131" s="203" t="str">
        <f>+IF('Exportación por país'!K66="","",'Exportación por país'!K66)</f>
        <v/>
      </c>
      <c r="N131" s="21" t="str">
        <f>+IF('Exportación por país'!L66="","",'Exportación por país'!L66)</f>
        <v/>
      </c>
      <c r="O131" s="203">
        <f>+IF('Exportación por país'!J84="","",'Exportación por país'!J84)</f>
        <v>0.215035</v>
      </c>
      <c r="P131" s="203" t="str">
        <f>+IF('Exportación por país'!K84="","",'Exportación por país'!K84)</f>
        <v/>
      </c>
      <c r="Q131" s="21" t="str">
        <f>+IF('Exportación por país'!L84="","",'Exportación por país'!L84)</f>
        <v/>
      </c>
      <c r="R131" s="203">
        <f>+IF('Exportación por país'!J102="","",'Exportación por país'!J102)</f>
        <v>5.2700999999999998E-2</v>
      </c>
      <c r="S131" s="203" t="str">
        <f>+IF('Exportación por país'!K102="","",'Exportación por país'!K102)</f>
        <v/>
      </c>
      <c r="T131" s="22" t="str">
        <f>+IF('Exportación por país'!L102="","",'Exportación por país'!L102)</f>
        <v/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 t="str">
        <f>+IF('Exportación por país'!K13="","",'Exportación por país'!K13)</f>
        <v/>
      </c>
      <c r="E132" s="21" t="str">
        <f>+IF('Exportación por país'!L13="","",'Exportación por país'!L13)</f>
        <v/>
      </c>
      <c r="F132" s="203">
        <f>+IF('Exportación por país'!J31="","",'Exportación por país'!J31)</f>
        <v>5.9931640000000002</v>
      </c>
      <c r="G132" s="203" t="str">
        <f>+IF('Exportación por país'!K31="","",'Exportación por país'!K31)</f>
        <v/>
      </c>
      <c r="H132" s="21" t="str">
        <f>+IF('Exportación por país'!L31="","",'Exportación por país'!L31)</f>
        <v/>
      </c>
      <c r="I132" s="203">
        <f>+IF('Exportación por país'!J49="","",'Exportación por país'!J49)</f>
        <v>1.3789039999999999</v>
      </c>
      <c r="J132" s="203" t="str">
        <f>+IF('Exportación por país'!K49="","",'Exportación por país'!K49)</f>
        <v/>
      </c>
      <c r="K132" s="21" t="str">
        <f>+IF('Exportación por país'!L49="","",'Exportación por país'!L49)</f>
        <v/>
      </c>
      <c r="L132" s="203">
        <f>+IF('Exportación por país'!J67="","",'Exportación por país'!J67)</f>
        <v>2.915972</v>
      </c>
      <c r="M132" s="203" t="str">
        <f>+IF('Exportación por país'!K67="","",'Exportación por país'!K67)</f>
        <v/>
      </c>
      <c r="N132" s="21" t="str">
        <f>+IF('Exportación por país'!L67="","",'Exportación por país'!L67)</f>
        <v/>
      </c>
      <c r="O132" s="203">
        <f>+IF('Exportación por país'!J85="","",'Exportación por país'!J85)</f>
        <v>0.67564999999999997</v>
      </c>
      <c r="P132" s="203" t="str">
        <f>+IF('Exportación por país'!K85="","",'Exportación por país'!K85)</f>
        <v/>
      </c>
      <c r="Q132" s="21" t="str">
        <f>+IF('Exportación por país'!L85="","",'Exportación por país'!L85)</f>
        <v/>
      </c>
      <c r="R132" s="203">
        <f>+IF('Exportación por país'!J103="","",'Exportación por país'!J103)</f>
        <v>0.17022799999999999</v>
      </c>
      <c r="S132" s="203" t="str">
        <f>+IF('Exportación por país'!K103="","",'Exportación por país'!K103)</f>
        <v/>
      </c>
      <c r="T132" s="22" t="str">
        <f>+IF('Exportación por país'!L103="","",'Exportación por país'!L103)</f>
        <v/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 t="str">
        <f>+IF('Exportación por país'!K14="","",'Exportación por país'!K14)</f>
        <v/>
      </c>
      <c r="E133" s="21" t="str">
        <f>+IF('Exportación por país'!L14="","",'Exportación por país'!L14)</f>
        <v/>
      </c>
      <c r="F133" s="203">
        <f>+IF('Exportación por país'!J32="","",'Exportación por país'!J32)</f>
        <v>6.0082230000000001</v>
      </c>
      <c r="G133" s="203" t="str">
        <f>+IF('Exportación por país'!K32="","",'Exportación por país'!K32)</f>
        <v/>
      </c>
      <c r="H133" s="21" t="str">
        <f>+IF('Exportación por país'!L32="","",'Exportación por país'!L32)</f>
        <v/>
      </c>
      <c r="I133" s="203">
        <f>+IF('Exportación por país'!J50="","",'Exportación por país'!J50)</f>
        <v>1.489906</v>
      </c>
      <c r="J133" s="203" t="str">
        <f>+IF('Exportación por país'!K50="","",'Exportación por país'!K50)</f>
        <v/>
      </c>
      <c r="K133" s="21" t="str">
        <f>+IF('Exportación por país'!L50="","",'Exportación por país'!L50)</f>
        <v/>
      </c>
      <c r="L133" s="203">
        <f>+IF('Exportación por país'!J68="","",'Exportación por país'!J68)</f>
        <v>2.461131</v>
      </c>
      <c r="M133" s="203" t="str">
        <f>+IF('Exportación por país'!K68="","",'Exportación por país'!K68)</f>
        <v/>
      </c>
      <c r="N133" s="21" t="str">
        <f>+IF('Exportación por país'!L68="","",'Exportación por país'!L68)</f>
        <v/>
      </c>
      <c r="O133" s="203">
        <f>+IF('Exportación por país'!J86="","",'Exportación por país'!J86)</f>
        <v>0.32260499999999998</v>
      </c>
      <c r="P133" s="203" t="str">
        <f>+IF('Exportación por país'!K86="","",'Exportación por país'!K86)</f>
        <v/>
      </c>
      <c r="Q133" s="21" t="str">
        <f>+IF('Exportación por país'!L86="","",'Exportación por país'!L86)</f>
        <v/>
      </c>
      <c r="R133" s="203">
        <f>+IF('Exportación por país'!J104="","",'Exportación por país'!J104)</f>
        <v>0.16484199999999999</v>
      </c>
      <c r="S133" s="203" t="str">
        <f>+IF('Exportación por país'!K104="","",'Exportación por país'!K104)</f>
        <v/>
      </c>
      <c r="T133" s="22" t="str">
        <f>+IF('Exportación por país'!L104="","",'Exportación por país'!L104)</f>
        <v/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 t="str">
        <f>+IF('Exportación por país'!K15="","",'Exportación por país'!K15)</f>
        <v/>
      </c>
      <c r="E134" s="21" t="str">
        <f>+IF('Exportación por país'!L15="","",'Exportación por país'!L15)</f>
        <v/>
      </c>
      <c r="F134" s="203">
        <f>+IF('Exportación por país'!J33="","",'Exportación por país'!J33)</f>
        <v>4.2256619999999998</v>
      </c>
      <c r="G134" s="203" t="str">
        <f>+IF('Exportación por país'!K33="","",'Exportación por país'!K33)</f>
        <v/>
      </c>
      <c r="H134" s="21" t="str">
        <f>+IF('Exportación por país'!L33="","",'Exportación por país'!L33)</f>
        <v/>
      </c>
      <c r="I134" s="203">
        <f>+IF('Exportación por país'!J51="","",'Exportación por país'!J51)</f>
        <v>1.168925</v>
      </c>
      <c r="J134" s="203" t="str">
        <f>+IF('Exportación por país'!K51="","",'Exportación por país'!K51)</f>
        <v/>
      </c>
      <c r="K134" s="21" t="str">
        <f>+IF('Exportación por país'!L51="","",'Exportación por país'!L51)</f>
        <v/>
      </c>
      <c r="L134" s="203">
        <f>+IF('Exportación por país'!J69="","",'Exportación por país'!J69)</f>
        <v>3.4218549999999999</v>
      </c>
      <c r="M134" s="203" t="str">
        <f>+IF('Exportación por país'!K69="","",'Exportación por país'!K69)</f>
        <v/>
      </c>
      <c r="N134" s="21" t="str">
        <f>+IF('Exportación por país'!L69="","",'Exportación por país'!L69)</f>
        <v/>
      </c>
      <c r="O134" s="203">
        <f>+IF('Exportación por país'!J87="","",'Exportación por país'!J87)</f>
        <v>0.39812399999999998</v>
      </c>
      <c r="P134" s="203" t="str">
        <f>+IF('Exportación por país'!K87="","",'Exportación por país'!K87)</f>
        <v/>
      </c>
      <c r="Q134" s="21" t="str">
        <f>+IF('Exportación por país'!L87="","",'Exportación por país'!L87)</f>
        <v/>
      </c>
      <c r="R134" s="203">
        <f>+IF('Exportación por país'!J105="","",'Exportación por país'!J105)</f>
        <v>0.18828500000000001</v>
      </c>
      <c r="S134" s="203" t="str">
        <f>+IF('Exportación por país'!K105="","",'Exportación por país'!K105)</f>
        <v/>
      </c>
      <c r="T134" s="22" t="str">
        <f>+IF('Exportación por país'!L105="","",'Exportación por país'!L105)</f>
        <v/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 t="str">
        <f>+IF('Exportación por país'!K16="","",'Exportación por país'!K16)</f>
        <v/>
      </c>
      <c r="E135" s="21" t="str">
        <f>+IF('Exportación por país'!L16="","",'Exportación por país'!L16)</f>
        <v/>
      </c>
      <c r="F135" s="203">
        <f>+IF('Exportación por país'!J34="","",'Exportación por país'!J34)</f>
        <v>4.6114329999999999</v>
      </c>
      <c r="G135" s="203" t="str">
        <f>+IF('Exportación por país'!K34="","",'Exportación por país'!K34)</f>
        <v/>
      </c>
      <c r="H135" s="21" t="str">
        <f>+IF('Exportación por país'!L34="","",'Exportación por país'!L34)</f>
        <v/>
      </c>
      <c r="I135" s="203">
        <f>+IF('Exportación por país'!J52="","",'Exportación por país'!J52)</f>
        <v>1.224936</v>
      </c>
      <c r="J135" s="203" t="str">
        <f>+IF('Exportación por país'!K52="","",'Exportación por país'!K52)</f>
        <v/>
      </c>
      <c r="K135" s="21" t="str">
        <f>+IF('Exportación por país'!L52="","",'Exportación por país'!L52)</f>
        <v/>
      </c>
      <c r="L135" s="203">
        <f>+IF('Exportación por país'!J70="","",'Exportación por país'!J70)</f>
        <v>2.4139059999999999</v>
      </c>
      <c r="M135" s="203" t="str">
        <f>+IF('Exportación por país'!K70="","",'Exportación por país'!K70)</f>
        <v/>
      </c>
      <c r="N135" s="21" t="str">
        <f>+IF('Exportación por país'!Y70="","",'Exportación por país'!Y70)</f>
        <v/>
      </c>
      <c r="O135" s="203">
        <f>+IF('Exportación por país'!J88="","",'Exportación por país'!J88)</f>
        <v>0.72120099999999998</v>
      </c>
      <c r="P135" s="203" t="str">
        <f>+IF('Exportación por país'!K88="","",'Exportación por país'!K88)</f>
        <v/>
      </c>
      <c r="Q135" s="21" t="str">
        <f>+IF('Exportación por país'!L88="","",'Exportación por país'!L88)</f>
        <v/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06" t="s">
        <v>181</v>
      </c>
      <c r="D152" s="307"/>
      <c r="E152" s="308"/>
      <c r="F152" s="306" t="s">
        <v>182</v>
      </c>
      <c r="G152" s="307"/>
      <c r="H152" s="312"/>
      <c r="I152" s="313" t="s">
        <v>183</v>
      </c>
      <c r="J152" s="307"/>
      <c r="K152" s="314"/>
      <c r="L152" s="315" t="s">
        <v>184</v>
      </c>
      <c r="M152" s="307"/>
      <c r="N152" s="314"/>
      <c r="O152" s="315" t="s">
        <v>185</v>
      </c>
      <c r="P152" s="307"/>
      <c r="Q152" s="314"/>
      <c r="R152" s="315" t="s">
        <v>186</v>
      </c>
      <c r="S152" s="307"/>
      <c r="T152" s="309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21.539000000000001</v>
      </c>
      <c r="E156" s="21">
        <f>+IF('Exportación por país'!L188="","",'Exportación por país'!L188)</f>
        <v>9.9489535477284452E-2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6.367</v>
      </c>
      <c r="H156" s="21">
        <f>+IF('Exportación por país'!L206="","",'Exportación por país'!L206)</f>
        <v>-0.31345697649342241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3.8109999999999999</v>
      </c>
      <c r="K156" s="21">
        <f>+IF('Exportación por país'!L224="","",'Exportación por país'!L224)</f>
        <v>0.20601265822784809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6.7510000000000003</v>
      </c>
      <c r="N156" s="21">
        <f>+IF('Exportación por país'!L242="","",'Exportación por país'!L242)</f>
        <v>-1.0407505130460182E-2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 t="str">
        <f>+IF('Exportación por país'!K189="","",'Exportación por país'!K189)</f>
        <v/>
      </c>
      <c r="E157" s="21" t="str">
        <f>+IF('Exportación por país'!L189="","",'Exportación por país'!L189)</f>
        <v/>
      </c>
      <c r="F157" s="203">
        <f>+IF('Exportación por país'!J207="","",'Exportación por país'!J207)</f>
        <v>7.7190000000000003</v>
      </c>
      <c r="G157" s="203" t="str">
        <f>+IF('Exportación por país'!K207="","",'Exportación por país'!K207)</f>
        <v/>
      </c>
      <c r="H157" s="21" t="str">
        <f>+IF('Exportación por país'!L207="","",'Exportación por país'!L207)</f>
        <v/>
      </c>
      <c r="I157" s="203">
        <f>+IF('Exportación por país'!J225="","",'Exportación por país'!J225)</f>
        <v>3.1779999999999999</v>
      </c>
      <c r="J157" s="203" t="str">
        <f>+IF('Exportación por país'!K225="","",'Exportación por país'!K225)</f>
        <v/>
      </c>
      <c r="K157" s="21" t="str">
        <f>+IF('Exportación por país'!L225="","",'Exportación por país'!L225)</f>
        <v/>
      </c>
      <c r="L157" s="203">
        <f>+IF('Exportación por país'!J243="","",'Exportación por país'!J243)</f>
        <v>7.218</v>
      </c>
      <c r="M157" s="203" t="str">
        <f>+IF('Exportación por país'!K243="","",'Exportación por país'!K243)</f>
        <v/>
      </c>
      <c r="N157" s="21" t="str">
        <f>+IF('Exportación por país'!L243="","",'Exportación por país'!L243)</f>
        <v/>
      </c>
      <c r="O157" s="203">
        <f>+IF('Exportación por país'!J261="","",'Exportación por país'!J261)</f>
        <v>1.254</v>
      </c>
      <c r="P157" s="203" t="str">
        <f>+IF('Exportación por país'!K261="","",'Exportación por país'!K261)</f>
        <v/>
      </c>
      <c r="Q157" s="21" t="str">
        <f>+IF('Exportación por país'!L261="","",'Exportación por país'!L261)</f>
        <v/>
      </c>
      <c r="R157" s="203">
        <f>+IF('Exportación por país'!J279="","",'Exportación por país'!J279)</f>
        <v>0.94699999999999995</v>
      </c>
      <c r="S157" s="203" t="str">
        <f>+IF('Exportación por país'!K279="","",'Exportación por país'!K279)</f>
        <v/>
      </c>
      <c r="T157" s="22" t="str">
        <f>+IF('Exportación por país'!L279="","",'Exportación por país'!L279)</f>
        <v/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 t="str">
        <f>+IF('Exportación por país'!K190="","",'Exportación por país'!K190)</f>
        <v/>
      </c>
      <c r="E158" s="21" t="str">
        <f>+IF('Exportación por país'!L190="","",'Exportación por país'!L190)</f>
        <v/>
      </c>
      <c r="F158" s="203">
        <f>+IF('Exportación por país'!J208="","",'Exportación por país'!J208)</f>
        <v>7.72</v>
      </c>
      <c r="G158" s="203" t="str">
        <f>+IF('Exportación por país'!K208="","",'Exportación por país'!K208)</f>
        <v/>
      </c>
      <c r="H158" s="21" t="str">
        <f>+IF('Exportación por país'!L208="","",'Exportación por país'!L208)</f>
        <v/>
      </c>
      <c r="I158" s="203">
        <f>+IF('Exportación por país'!J226="","",'Exportación por país'!J226)</f>
        <v>4.6020000000000003</v>
      </c>
      <c r="J158" s="203" t="str">
        <f>+IF('Exportación por país'!K226="","",'Exportación por país'!K226)</f>
        <v/>
      </c>
      <c r="K158" s="21" t="str">
        <f>+IF('Exportación por país'!L226="","",'Exportación por país'!L226)</f>
        <v/>
      </c>
      <c r="L158" s="203">
        <f>+IF('Exportación por país'!J244="","",'Exportación por país'!J244)</f>
        <v>10.387</v>
      </c>
      <c r="M158" s="203" t="str">
        <f>+IF('Exportación por país'!K244="","",'Exportación por país'!K244)</f>
        <v/>
      </c>
      <c r="N158" s="21" t="str">
        <f>+IF('Exportación por país'!L244="","",'Exportación por país'!L244)</f>
        <v/>
      </c>
      <c r="O158" s="203">
        <f>+IF('Exportación por país'!J262="","",'Exportación por país'!J262)</f>
        <v>2.056</v>
      </c>
      <c r="P158" s="203" t="str">
        <f>+IF('Exportación por país'!K262="","",'Exportación por país'!K262)</f>
        <v/>
      </c>
      <c r="Q158" s="21" t="str">
        <f>+IF('Exportación por país'!L262="","",'Exportación por país'!L262)</f>
        <v/>
      </c>
      <c r="R158" s="203">
        <f>+IF('Exportación por país'!J280="","",'Exportación por país'!J280)</f>
        <v>0.81899999999999995</v>
      </c>
      <c r="S158" s="203" t="str">
        <f>+IF('Exportación por país'!K280="","",'Exportación por país'!K280)</f>
        <v/>
      </c>
      <c r="T158" s="22" t="str">
        <f>+IF('Exportación por país'!L280="","",'Exportación por país'!L280)</f>
        <v/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 t="str">
        <f>+IF('Exportación por país'!K191="","",'Exportación por país'!K191)</f>
        <v/>
      </c>
      <c r="E159" s="21" t="str">
        <f>+IF('Exportación por país'!L191="","",'Exportación por país'!L191)</f>
        <v/>
      </c>
      <c r="F159" s="203">
        <f>+IF('Exportación por país'!J209="","",'Exportación por país'!J209)</f>
        <v>3.8170000000000002</v>
      </c>
      <c r="G159" s="203" t="str">
        <f>+IF('Exportación por país'!K209="","",'Exportación por país'!K209)</f>
        <v/>
      </c>
      <c r="H159" s="21" t="str">
        <f>+IF('Exportación por país'!L209="","",'Exportación por país'!L209)</f>
        <v/>
      </c>
      <c r="I159" s="203">
        <f>+IF('Exportación por país'!J227="","",'Exportación por país'!J227)</f>
        <v>1.1910000000000001</v>
      </c>
      <c r="J159" s="203" t="str">
        <f>+IF('Exportación por país'!K227="","",'Exportación por país'!K227)</f>
        <v/>
      </c>
      <c r="K159" s="21" t="str">
        <f>+IF('Exportación por país'!L227="","",'Exportación por país'!L227)</f>
        <v/>
      </c>
      <c r="L159" s="203">
        <f>+IF('Exportación por país'!J245="","",'Exportación por país'!J245)</f>
        <v>8.8930000000000007</v>
      </c>
      <c r="M159" s="203" t="str">
        <f>+IF('Exportación por país'!K245="","",'Exportación por país'!K245)</f>
        <v/>
      </c>
      <c r="N159" s="21" t="str">
        <f>+IF('Exportación por país'!L245="","",'Exportación por país'!L245)</f>
        <v/>
      </c>
      <c r="O159" s="203">
        <f>+IF('Exportación por país'!J263="","",'Exportación por país'!J263)</f>
        <v>0.83899999999999997</v>
      </c>
      <c r="P159" s="203" t="str">
        <f>+IF('Exportación por país'!K263="","",'Exportación por país'!K263)</f>
        <v/>
      </c>
      <c r="Q159" s="21" t="str">
        <f>+IF('Exportación por país'!L263="","",'Exportación por país'!L263)</f>
        <v/>
      </c>
      <c r="R159" s="203">
        <f>+IF('Exportación por país'!J281="","",'Exportación por país'!J281)</f>
        <v>0.54500000000000004</v>
      </c>
      <c r="S159" s="203" t="str">
        <f>+IF('Exportación por país'!K281="","",'Exportación por país'!K281)</f>
        <v/>
      </c>
      <c r="T159" s="22" t="str">
        <f>+IF('Exportación por país'!L281="","",'Exportación por país'!L281)</f>
        <v/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 t="str">
        <f>+IF('Exportación por país'!K192="","",'Exportación por país'!K192)</f>
        <v/>
      </c>
      <c r="E160" s="21" t="str">
        <f>+IF('Exportación por país'!L192="","",'Exportación por país'!L192)</f>
        <v/>
      </c>
      <c r="F160" s="203">
        <f>+IF('Exportación por país'!J210="","",'Exportación por país'!J210)</f>
        <v>11.836</v>
      </c>
      <c r="G160" s="203" t="str">
        <f>+IF('Exportación por país'!K210="","",'Exportación por país'!K210)</f>
        <v/>
      </c>
      <c r="H160" s="21" t="str">
        <f>+IF('Exportación por país'!L210="","",'Exportación por país'!L210)</f>
        <v/>
      </c>
      <c r="I160" s="203">
        <f>+IF('Exportación por país'!J228="","",'Exportación por país'!J228)</f>
        <v>5.4329999999999998</v>
      </c>
      <c r="J160" s="203" t="str">
        <f>+IF('Exportación por país'!K228="","",'Exportación por país'!K228)</f>
        <v/>
      </c>
      <c r="K160" s="21" t="str">
        <f>+IF('Exportación por país'!L228="","",'Exportación por país'!L228)</f>
        <v/>
      </c>
      <c r="L160" s="203">
        <f>+IF('Exportación por país'!J246="","",'Exportación por país'!J246)</f>
        <v>10.634</v>
      </c>
      <c r="M160" s="203" t="str">
        <f>+IF('Exportación por país'!K246="","",'Exportación por país'!K246)</f>
        <v/>
      </c>
      <c r="N160" s="21" t="str">
        <f>+IF('Exportación por país'!L246="","",'Exportación por país'!L246)</f>
        <v/>
      </c>
      <c r="O160" s="203">
        <f>+IF('Exportación por país'!J264="","",'Exportación por país'!J264)</f>
        <v>2.5129999999999999</v>
      </c>
      <c r="P160" s="203" t="str">
        <f>+IF('Exportación por país'!K264="","",'Exportación por país'!K264)</f>
        <v/>
      </c>
      <c r="Q160" s="21" t="str">
        <f>+IF('Exportación por país'!L264="","",'Exportación por país'!L264)</f>
        <v/>
      </c>
      <c r="R160" s="203">
        <f>+IF('Exportación por país'!J282="","",'Exportación por país'!J282)</f>
        <v>0.86699999999999999</v>
      </c>
      <c r="S160" s="203" t="str">
        <f>+IF('Exportación por país'!K282="","",'Exportación por país'!K282)</f>
        <v/>
      </c>
      <c r="T160" s="22" t="str">
        <f>+IF('Exportación por país'!L282="","",'Exportación por país'!L282)</f>
        <v/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 t="str">
        <f>+IF('Exportación por país'!K193="","",'Exportación por país'!K193)</f>
        <v/>
      </c>
      <c r="E161" s="21" t="str">
        <f>+IF('Exportación por país'!L193="","",'Exportación por país'!L193)</f>
        <v/>
      </c>
      <c r="F161" s="203">
        <f>+IF('Exportación por país'!J211="","",'Exportación por país'!J211)</f>
        <v>11.483000000000001</v>
      </c>
      <c r="G161" s="203" t="str">
        <f>+IF('Exportación por país'!K211="","",'Exportación por país'!K211)</f>
        <v/>
      </c>
      <c r="H161" s="21" t="str">
        <f>+IF('Exportación por país'!L211="","",'Exportación por país'!L211)</f>
        <v/>
      </c>
      <c r="I161" s="203">
        <f>+IF('Exportación por país'!J229="","",'Exportación por país'!J229)</f>
        <v>4.92</v>
      </c>
      <c r="J161" s="203" t="str">
        <f>+IF('Exportación por país'!K229="","",'Exportación por país'!K229)</f>
        <v/>
      </c>
      <c r="K161" s="21" t="str">
        <f>+IF('Exportación por país'!L229="","",'Exportación por país'!L229)</f>
        <v/>
      </c>
      <c r="L161" s="203">
        <f>+IF('Exportación por país'!J247="","",'Exportación por país'!J247)</f>
        <v>9.5289999999999999</v>
      </c>
      <c r="M161" s="203" t="str">
        <f>+IF('Exportación por país'!K247="","",'Exportación por país'!K247)</f>
        <v/>
      </c>
      <c r="N161" s="21" t="str">
        <f>+IF('Exportación por país'!L247="","",'Exportación por país'!L247)</f>
        <v/>
      </c>
      <c r="O161" s="203">
        <f>+IF('Exportación por país'!J265="","",'Exportación por país'!J265)</f>
        <v>1.4059999999999999</v>
      </c>
      <c r="P161" s="203" t="str">
        <f>+IF('Exportación por país'!K265="","",'Exportación por país'!K265)</f>
        <v/>
      </c>
      <c r="Q161" s="21" t="str">
        <f>+IF('Exportación por país'!L265="","",'Exportación por país'!L265)</f>
        <v/>
      </c>
      <c r="R161" s="203">
        <f>+IF('Exportación por país'!J283="","",'Exportación por país'!J283)</f>
        <v>1.0740000000000001</v>
      </c>
      <c r="S161" s="203" t="str">
        <f>+IF('Exportación por país'!K283="","",'Exportación por país'!K283)</f>
        <v/>
      </c>
      <c r="T161" s="22" t="str">
        <f>+IF('Exportación por país'!L283="","",'Exportación por país'!L283)</f>
        <v/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 t="str">
        <f>+IF('Exportación por país'!K194="","",'Exportación por país'!K194)</f>
        <v/>
      </c>
      <c r="E162" s="21" t="str">
        <f>+IF('Exportación por país'!L194="","",'Exportación por país'!L194)</f>
        <v/>
      </c>
      <c r="F162" s="203">
        <f>+IF('Exportación por país'!J212="","",'Exportación por país'!J212)</f>
        <v>10.121</v>
      </c>
      <c r="G162" s="203" t="str">
        <f>+IF('Exportación por país'!K212="","",'Exportación por país'!K212)</f>
        <v/>
      </c>
      <c r="H162" s="21" t="str">
        <f>+IF('Exportación por país'!L212="","",'Exportación por país'!L212)</f>
        <v/>
      </c>
      <c r="I162" s="203">
        <f>+IF('Exportación por país'!J230="","",'Exportación por país'!J230)</f>
        <v>5.3410000000000002</v>
      </c>
      <c r="J162" s="203" t="str">
        <f>+IF('Exportación por país'!K230="","",'Exportación por país'!K230)</f>
        <v/>
      </c>
      <c r="K162" s="21" t="str">
        <f>+IF('Exportación por país'!L230="","",'Exportación por país'!L230)</f>
        <v/>
      </c>
      <c r="L162" s="203">
        <f>+IF('Exportación por país'!J248="","",'Exportación por país'!J248)</f>
        <v>12.007</v>
      </c>
      <c r="M162" s="203" t="str">
        <f>+IF('Exportación por país'!K248="","",'Exportación por país'!K248)</f>
        <v/>
      </c>
      <c r="N162" s="21" t="str">
        <f>+IF('Exportación por país'!L248="","",'Exportación por país'!L248)</f>
        <v/>
      </c>
      <c r="O162" s="203">
        <f>+IF('Exportación por país'!J266="","",'Exportación por país'!J266)</f>
        <v>1.5029999999999999</v>
      </c>
      <c r="P162" s="203" t="str">
        <f>+IF('Exportación por país'!K266="","",'Exportación por país'!K266)</f>
        <v/>
      </c>
      <c r="Q162" s="21" t="str">
        <f>+IF('Exportación por país'!L266="","",'Exportación por país'!L266)</f>
        <v/>
      </c>
      <c r="R162" s="203">
        <f>+IF('Exportación por país'!J284="","",'Exportación por país'!J284)</f>
        <v>1.335</v>
      </c>
      <c r="S162" s="203" t="str">
        <f>+IF('Exportación por país'!K284="","",'Exportación por país'!K284)</f>
        <v/>
      </c>
      <c r="T162" s="22" t="str">
        <f>+IF('Exportación por país'!L284="","",'Exportación por país'!L284)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 t="str">
        <f>+IF('Exportación por país'!K195="","",'Exportación por país'!K195)</f>
        <v/>
      </c>
      <c r="E163" s="21" t="str">
        <f>+IF('Exportación por país'!L195="","",'Exportación por país'!L195)</f>
        <v/>
      </c>
      <c r="F163" s="203">
        <f>+IF('Exportación por país'!J213="","",'Exportación por país'!J213)</f>
        <v>10.327</v>
      </c>
      <c r="G163" s="203" t="str">
        <f>+IF('Exportación por país'!K213="","",'Exportación por país'!K213)</f>
        <v/>
      </c>
      <c r="H163" s="21" t="str">
        <f>+IF('Exportación por país'!L213="","",'Exportación por país'!L213)</f>
        <v/>
      </c>
      <c r="I163" s="203">
        <f>+IF('Exportación por país'!J231="","",'Exportación por país'!J231)</f>
        <v>6.758</v>
      </c>
      <c r="J163" s="203" t="str">
        <f>+IF('Exportación por país'!K231="","",'Exportación por país'!K231)</f>
        <v/>
      </c>
      <c r="K163" s="21" t="str">
        <f>+IF('Exportación por país'!L231="","",'Exportación por país'!L231)</f>
        <v/>
      </c>
      <c r="L163" s="203">
        <f>+IF('Exportación por país'!J249="","",'Exportación por país'!J249)</f>
        <v>9.4149999999999991</v>
      </c>
      <c r="M163" s="203" t="str">
        <f>+IF('Exportación por país'!K249="","",'Exportación por país'!K249)</f>
        <v/>
      </c>
      <c r="N163" s="21" t="str">
        <f>+IF('Exportación por país'!L249="","",'Exportación por país'!L249)</f>
        <v/>
      </c>
      <c r="O163" s="203">
        <f>+IF('Exportación por país'!J267="","",'Exportación por país'!J267)</f>
        <v>2.754</v>
      </c>
      <c r="P163" s="203" t="str">
        <f>+IF('Exportación por país'!K267="","",'Exportación por país'!K267)</f>
        <v/>
      </c>
      <c r="Q163" s="21" t="str">
        <f>+IF('Exportación por país'!L267="","",'Exportación por país'!L267)</f>
        <v/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11" t="s">
        <v>160</v>
      </c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S2" s="177" t="s">
        <v>206</v>
      </c>
    </row>
    <row r="3" spans="2:19" ht="6" customHeight="1" x14ac:dyDescent="0.25"/>
    <row r="4" spans="2:19" ht="18.75" customHeight="1" x14ac:dyDescent="0.25">
      <c r="B4" s="310" t="s">
        <v>219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85.336399999999998</v>
      </c>
      <c r="P11" s="20" t="str">
        <f>+IF('Venta total por tipo'!K65="","",'Venta total por tipo'!K65)</f>
        <v/>
      </c>
      <c r="Q11" s="22" t="str">
        <f>+IF('Venta total por tipo'!L65="","",'Venta total por tipo'!L65)</f>
        <v/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70.897099999999995</v>
      </c>
      <c r="P12" s="20" t="str">
        <f>+IF('Venta total por tipo'!K66="","",'Venta total por tipo'!K66)</f>
        <v/>
      </c>
      <c r="Q12" s="22" t="str">
        <f>+IF('Venta total por tipo'!L66="","",'Venta total por tipo'!L66)</f>
        <v/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 t="str">
        <f>+IF('Venta total por tipo'!K67="","",'Venta total por tipo'!K67)</f>
        <v/>
      </c>
      <c r="Q13" s="22" t="str">
        <f>+IF('Venta total por tipo'!L67="","",'Venta total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 t="str">
        <f>+IF('Venta total por tipo'!K68="","",'Venta total por tipo'!K68)</f>
        <v/>
      </c>
      <c r="Q14" s="22" t="str">
        <f>+IF('Venta total por tipo'!L68="","",'Venta total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 t="str">
        <f>+IF('Venta total por tipo'!K69="","",'Venta total por tipo'!K69)</f>
        <v/>
      </c>
      <c r="Q15" s="22" t="str">
        <f>+IF('Venta total por tipo'!L69="","",'Venta total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 t="str">
        <f>+IF('Venta total por tipo'!K70="","",'Venta total por tipo'!K70)</f>
        <v/>
      </c>
      <c r="Q16" s="22" t="str">
        <f>+IF('Venta total por tipo'!L70="","",'Venta total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16" t="s">
        <v>161</v>
      </c>
      <c r="J20" s="317"/>
      <c r="K20" s="318"/>
      <c r="L20" s="316" t="s">
        <v>166</v>
      </c>
      <c r="M20" s="317"/>
      <c r="N20" s="318"/>
      <c r="O20" s="306" t="s">
        <v>162</v>
      </c>
      <c r="P20" s="307"/>
      <c r="Q20" s="309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28.535</v>
      </c>
      <c r="J26" s="26" t="str">
        <f>+IF('Venta total por tipo'!K11="","",'Venta total por tipo'!K11)</f>
        <v/>
      </c>
      <c r="K26" s="35" t="str">
        <f>+IF('Venta total por tipo'!L11="","",'Venta total por tipo'!L11)</f>
        <v/>
      </c>
      <c r="L26" s="26">
        <f>+IF('Venta total por tipo'!J29="","",'Venta total por tipo'!J29)</f>
        <v>54.604699999999994</v>
      </c>
      <c r="M26" s="26" t="str">
        <f>+IF('Venta total por tipo'!K29="","",'Venta total por tipo'!K29)</f>
        <v/>
      </c>
      <c r="N26" s="35" t="str">
        <f>+IF('Venta total por tipo'!L29="","",'Venta total por tipo'!L29)</f>
        <v/>
      </c>
      <c r="O26" s="26">
        <f>+IF('Venta total por tipo'!J47="","",'Venta total por tipo'!J47)</f>
        <v>2.0667999999999997</v>
      </c>
      <c r="P26" s="26" t="str">
        <f>+IF('Venta total por tipo'!K47="","",'Venta total por tipo'!K47)</f>
        <v/>
      </c>
      <c r="Q26" s="22" t="str">
        <f>+IF('Venta total por tipo'!L47="","",'Venta total por tipo'!L47)</f>
        <v/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17.378900000000002</v>
      </c>
      <c r="J27" s="26" t="str">
        <f>+IF('Venta total por tipo'!K12="","",'Venta total por tipo'!K12)</f>
        <v/>
      </c>
      <c r="K27" s="35" t="str">
        <f>+IF('Venta total por tipo'!L12="","",'Venta total por tipo'!L12)</f>
        <v/>
      </c>
      <c r="L27" s="26">
        <f>+IF('Venta total por tipo'!J30="","",'Venta total por tipo'!J30)</f>
        <v>51.708199999999998</v>
      </c>
      <c r="M27" s="26" t="str">
        <f>+IF('Venta total por tipo'!K30="","",'Venta total por tipo'!K30)</f>
        <v/>
      </c>
      <c r="N27" s="35" t="str">
        <f>+IF('Venta total por tipo'!L30="","",'Venta total por tipo'!L30)</f>
        <v/>
      </c>
      <c r="O27" s="26">
        <f>+IF('Venta total por tipo'!J48="","",'Venta total por tipo'!J48)</f>
        <v>1.5807</v>
      </c>
      <c r="P27" s="26" t="str">
        <f>+IF('Venta total por tipo'!K48="","",'Venta total por tipo'!K48)</f>
        <v/>
      </c>
      <c r="Q27" s="22" t="str">
        <f>+IF('Venta total por tipo'!L48="","",'Venta total por tipo'!L48)</f>
        <v/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 t="str">
        <f>+IF('Venta total por tipo'!K13="","",'Venta total por tipo'!K13)</f>
        <v/>
      </c>
      <c r="K28" s="35" t="str">
        <f>+IF('Venta total por tipo'!L13="","",'Venta total por tipo'!L13)</f>
        <v/>
      </c>
      <c r="L28" s="26">
        <f>+IF('Venta total por tipo'!J31="","",'Venta total por tipo'!J31)</f>
        <v>71.596900000000005</v>
      </c>
      <c r="M28" s="26" t="str">
        <f>+IF('Venta total por tipo'!K31="","",'Venta total por tipo'!K31)</f>
        <v/>
      </c>
      <c r="N28" s="35" t="str">
        <f>+IF('Venta total por tipo'!L31="","",'Venta total por tipo'!L31)</f>
        <v/>
      </c>
      <c r="O28" s="26">
        <f>+IF('Venta total por tipo'!J49="","",'Venta total por tipo'!J49)</f>
        <v>2.4796</v>
      </c>
      <c r="P28" s="26" t="str">
        <f>+IF('Venta total por tipo'!K49="","",'Venta total por tipo'!K49)</f>
        <v/>
      </c>
      <c r="Q28" s="22" t="str">
        <f>+IF('Venta total por tipo'!L49="","",'Venta total por tipo'!L49)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 t="str">
        <f>+IF('Venta total por tipo'!K14="","",'Venta total por tipo'!K14)</f>
        <v/>
      </c>
      <c r="K29" s="35" t="str">
        <f>+IF('Venta total por tipo'!L14="","",'Venta total por tipo'!L14)</f>
        <v/>
      </c>
      <c r="L29" s="26">
        <f>+IF('Venta total por tipo'!J32="","",'Venta total por tipo'!J32)</f>
        <v>73.711999999999989</v>
      </c>
      <c r="M29" s="26" t="str">
        <f>+IF('Venta total por tipo'!K32="","",'Venta total por tipo'!K32)</f>
        <v/>
      </c>
      <c r="N29" s="35" t="str">
        <f>+IF('Venta total por tipo'!L32="","",'Venta total por tipo'!L32)</f>
        <v/>
      </c>
      <c r="O29" s="26">
        <f>+IF('Venta total por tipo'!J50="","",'Venta total por tipo'!J50)</f>
        <v>3.2429999999999999</v>
      </c>
      <c r="P29" s="26" t="str">
        <f>+IF('Venta total por tipo'!K50="","",'Venta total por tipo'!K50)</f>
        <v/>
      </c>
      <c r="Q29" s="22" t="str">
        <f>+IF('Venta total por tipo'!L50="","",'Venta total por tipo'!L50)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 t="str">
        <f>+IF('Venta total por tipo'!K15="","",'Venta total por tipo'!K15)</f>
        <v/>
      </c>
      <c r="K30" s="35" t="str">
        <f>+IF('Venta total por tipo'!L15="","",'Venta total por tipo'!L15)</f>
        <v/>
      </c>
      <c r="L30" s="26">
        <f>+IF('Venta total por tipo'!J33="","",'Venta total por tipo'!J33)</f>
        <v>58.314000000000007</v>
      </c>
      <c r="M30" s="26" t="str">
        <f>+IF('Venta total por tipo'!K33="","",'Venta total por tipo'!K33)</f>
        <v/>
      </c>
      <c r="N30" s="35" t="str">
        <f>+IF('Venta total por tipo'!L33="","",'Venta total por tipo'!L33)</f>
        <v/>
      </c>
      <c r="O30" s="26">
        <f>+IF('Venta total por tipo'!J51="","",'Venta total por tipo'!J51)</f>
        <v>4.2716000000000003</v>
      </c>
      <c r="P30" s="26" t="str">
        <f>+IF('Venta total por tipo'!K51="","",'Venta total por tipo'!K51)</f>
        <v/>
      </c>
      <c r="Q30" s="22" t="str">
        <f>+IF('Venta total por tipo'!L51="","",'Venta total por tipo'!L51)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 t="str">
        <f>+IF('Venta total por tipo'!K16="","",'Venta total por tipo'!K16)</f>
        <v/>
      </c>
      <c r="K31" s="35" t="str">
        <f>+IF('Venta total por tipo'!L16="","",'Venta total por tipo'!L16)</f>
        <v/>
      </c>
      <c r="L31" s="26">
        <f>+IF('Venta total por tipo'!J34="","",'Venta total por tipo'!J34)</f>
        <v>63.229799999999997</v>
      </c>
      <c r="M31" s="26" t="str">
        <f>+IF('Venta total por tipo'!K34="","",'Venta total por tipo'!K34)</f>
        <v/>
      </c>
      <c r="N31" s="35" t="str">
        <f>+IF('Venta total por tipo'!L34="","",'Venta total por tipo'!L34)</f>
        <v/>
      </c>
      <c r="O31" s="26">
        <f>+IF('Venta total por tipo'!J52="","",'Venta total por tipo'!J52)</f>
        <v>4.7074000000000007</v>
      </c>
      <c r="P31" s="26" t="str">
        <f>+IF('Venta total por tipo'!K52="","",'Venta total por tipo'!K52)</f>
        <v/>
      </c>
      <c r="Q31" s="22" t="str">
        <f>+IF('Venta total por tipo'!L52="","",'Venta total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11" t="s">
        <v>160</v>
      </c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R2" s="177" t="s">
        <v>206</v>
      </c>
    </row>
    <row r="3" spans="2:18" ht="6" customHeight="1" x14ac:dyDescent="0.25"/>
    <row r="4" spans="2:18" ht="18.75" customHeight="1" x14ac:dyDescent="0.25">
      <c r="B4" s="310" t="s">
        <v>195</v>
      </c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06" t="s">
        <v>196</v>
      </c>
      <c r="L6" s="307"/>
      <c r="M6" s="312"/>
      <c r="N6" s="313" t="s">
        <v>197</v>
      </c>
      <c r="O6" s="307"/>
      <c r="P6" s="309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44425.609482227381</v>
      </c>
      <c r="L8" s="175">
        <f>+IF('Precio Vino de Traslado'!K7="","",'Precio Vino de Traslado'!K7)</f>
        <v>32393.493621197256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64828.631350798823</v>
      </c>
      <c r="O8" s="175">
        <f>+IF('Precio Vino de Traslado'!K75="","",'Precio Vino de Traslado'!K75)</f>
        <v>43182.56133464181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47789.792944207758</v>
      </c>
      <c r="L9" s="175">
        <f>+IF('Precio Vino de Traslado'!K8="","",'Precio Vino de Traslado'!K8)</f>
        <v>33788.650407875371</v>
      </c>
      <c r="M9" s="21">
        <f>+IF('Precio Vino de Traslado'!L8="","",'Precio Vino de Traslado'!L8)</f>
        <v>-0.29297349232456471</v>
      </c>
      <c r="N9" s="175">
        <f>+IF('Precio Vino de Traslado'!J76="","",'Precio Vino de Traslado'!J76)</f>
        <v>62394.199584379923</v>
      </c>
      <c r="O9" s="175">
        <f>+IF('Precio Vino de Traslado'!K76="","",'Precio Vino de Traslado'!K76)</f>
        <v>43867.781679342501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50537.603131557851</v>
      </c>
      <c r="L10" s="175">
        <f>+IF('Precio Vino de Traslado'!K9="","",'Precio Vino de Traslado'!K9)</f>
        <v>37168.397393827792</v>
      </c>
      <c r="M10" s="21">
        <f>+IF('Precio Vino de Traslado'!L9="","",'Precio Vino de Traslado'!L9)</f>
        <v>-0.26453976661551948</v>
      </c>
      <c r="N10" s="175">
        <f>+IF('Precio Vino de Traslado'!J77="","",'Precio Vino de Traslado'!J77)</f>
        <v>64492.077910773682</v>
      </c>
      <c r="O10" s="175">
        <f>+IF('Precio Vino de Traslado'!K77="","",'Precio Vino de Traslado'!K77)</f>
        <v>40434.091861076391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49522.710241660119</v>
      </c>
      <c r="L11" s="175">
        <f>+IF('Precio Vino de Traslado'!K10="","",'Precio Vino de Traslado'!K10)</f>
        <v>33496.839495587541</v>
      </c>
      <c r="M11" s="21">
        <f>+IF('Precio Vino de Traslado'!L10="","",'Precio Vino de Traslado'!L10)</f>
        <v>-0.32360649624929239</v>
      </c>
      <c r="N11" s="175">
        <f>+IF('Precio Vino de Traslado'!J78="","",'Precio Vino de Traslado'!J78)</f>
        <v>59014.794978026432</v>
      </c>
      <c r="O11" s="175">
        <f>+IF('Precio Vino de Traslado'!K78="","",'Precio Vino de Traslado'!K78)</f>
        <v>39278.286509497499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48858.903318463337</v>
      </c>
      <c r="L12" s="175" t="str">
        <f>+IF('Precio Vino de Traslado'!K11="","",'Precio Vino de Traslado'!K11)</f>
        <v/>
      </c>
      <c r="M12" s="21" t="str">
        <f>+IF('Precio Vino de Traslado'!L11="","",'Precio Vino de Traslado'!L11)</f>
        <v/>
      </c>
      <c r="N12" s="175">
        <f>+IF('Precio Vino de Traslado'!J79="","",'Precio Vino de Traslado'!J79)</f>
        <v>56654.322803318639</v>
      </c>
      <c r="O12" s="175" t="str">
        <f>+IF('Precio Vino de Traslado'!K79="","",'Precio Vino de Traslado'!K79)</f>
        <v/>
      </c>
      <c r="P12" s="22" t="str">
        <f>+IF('Precio Vino de Traslado'!L79="","",'Precio Vino de Traslado'!L79)</f>
        <v/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55363.585026266672</v>
      </c>
      <c r="L13" s="175" t="str">
        <f>+IF('Precio Vino de Traslado'!K12="","",'Precio Vino de Traslado'!K12)</f>
        <v/>
      </c>
      <c r="M13" s="21" t="str">
        <f>+IF('Precio Vino de Traslado'!L12="","",'Precio Vino de Traslado'!L12)</f>
        <v/>
      </c>
      <c r="N13" s="175">
        <f>+IF('Precio Vino de Traslado'!J80="","",'Precio Vino de Traslado'!J80)</f>
        <v>57102.322499290742</v>
      </c>
      <c r="O13" s="175" t="str">
        <f>+IF('Precio Vino de Traslado'!K80="","",'Precio Vino de Traslado'!K80)</f>
        <v/>
      </c>
      <c r="P13" s="22" t="str">
        <f>+IF('Precio Vino de Traslado'!L80="","",'Precio Vino de Traslado'!L80)</f>
        <v/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40455.908280013988</v>
      </c>
      <c r="L14" s="175" t="str">
        <f>+IF('Precio Vino de Traslado'!K13="","",'Precio Vino de Traslado'!K13)</f>
        <v/>
      </c>
      <c r="M14" s="21" t="str">
        <f>+IF('Precio Vino de Traslado'!L13="","",'Precio Vino de Traslado'!L13)</f>
        <v/>
      </c>
      <c r="N14" s="175">
        <f>+IF('Precio Vino de Traslado'!J81="","",'Precio Vino de Traslado'!J81)</f>
        <v>53923.005318697411</v>
      </c>
      <c r="O14" s="175" t="str">
        <f>+IF('Precio Vino de Traslado'!K81="","",'Precio Vino de Traslado'!K81)</f>
        <v/>
      </c>
      <c r="P14" s="22" t="str">
        <f>+IF('Precio Vino de Traslado'!L81="","",'Precio Vino de Traslado'!L81)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44523.871176946624</v>
      </c>
      <c r="L15" s="175" t="str">
        <f>+IF('Precio Vino de Traslado'!K14="","",'Precio Vino de Traslado'!K14)</f>
        <v/>
      </c>
      <c r="M15" s="21" t="str">
        <f>+IF('Precio Vino de Traslado'!L14="","",'Precio Vino de Traslado'!L14)</f>
        <v/>
      </c>
      <c r="N15" s="175">
        <f>+IF('Precio Vino de Traslado'!J82="","",'Precio Vino de Traslado'!J82)</f>
        <v>54002.863981084243</v>
      </c>
      <c r="O15" s="175" t="str">
        <f>+IF('Precio Vino de Traslado'!K82="","",'Precio Vino de Traslado'!K82)</f>
        <v/>
      </c>
      <c r="P15" s="22" t="str">
        <f>+IF('Precio Vino de Traslado'!L82="","",'Precio Vino de Traslado'!L82)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34544.997228185595</v>
      </c>
      <c r="L16" s="175" t="str">
        <f>+IF('Precio Vino de Traslado'!K15="","",'Precio Vino de Traslado'!K15)</f>
        <v/>
      </c>
      <c r="M16" s="21" t="str">
        <f>+IF('Precio Vino de Traslado'!L15="","",'Precio Vino de Traslado'!L15)</f>
        <v/>
      </c>
      <c r="N16" s="175">
        <f>+IF('Precio Vino de Traslado'!J83="","",'Precio Vino de Traslado'!J83)</f>
        <v>49234.633615431674</v>
      </c>
      <c r="O16" s="175" t="str">
        <f>+IF('Precio Vino de Traslado'!K83="","",'Precio Vino de Traslado'!K83)</f>
        <v/>
      </c>
      <c r="P16" s="22" t="str">
        <f>+IF('Precio Vino de Traslado'!L83="","",'Precio Vino de Traslado'!L83)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44746.938828799997</v>
      </c>
      <c r="L17" s="175" t="str">
        <f>+IF('Precio Vino de Traslado'!K16="","",'Precio Vino de Traslado'!K16)</f>
        <v/>
      </c>
      <c r="M17" s="21" t="str">
        <f>+IF('Precio Vino de Traslado'!L16="","",'Precio Vino de Traslado'!L16)</f>
        <v/>
      </c>
      <c r="N17" s="175">
        <f>+IF('Precio Vino de Traslado'!J84="","",'Precio Vino de Traslado'!J84)</f>
        <v>48939.691141119998</v>
      </c>
      <c r="O17" s="175" t="str">
        <f>+IF('Precio Vino de Traslado'!K84="","",'Precio Vino de Traslado'!K84)</f>
        <v/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39375.375129999993</v>
      </c>
      <c r="L18" s="175" t="str">
        <f>+IF('Precio Vino de Traslado'!K17="","",'Precio Vino de Traslado'!K17)</f>
        <v/>
      </c>
      <c r="M18" s="21" t="str">
        <f>+IF('Precio Vino de Traslado'!L17="","",'Precio Vino de Traslado'!L17)</f>
        <v/>
      </c>
      <c r="N18" s="175">
        <f>+IF('Precio Vino de Traslado'!J85="","",'Precio Vino de Traslado'!J85)</f>
        <v>44958.177940000001</v>
      </c>
      <c r="O18" s="175" t="str">
        <f>+IF('Precio Vino de Traslado'!K85="","",'Precio Vino de Traslado'!K85)</f>
        <v/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26138.989999999998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44774.559999999998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06" t="s">
        <v>198</v>
      </c>
      <c r="L21" s="307"/>
      <c r="M21" s="312"/>
      <c r="N21" s="313" t="s">
        <v>199</v>
      </c>
      <c r="O21" s="307"/>
      <c r="P21" s="309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28095.516871693606</v>
      </c>
      <c r="L23" s="175">
        <f>+IF('Precio Vino de Traslado'!K41="","",'Precio Vino de Traslado'!K41)</f>
        <v>25221.844946025518</v>
      </c>
      <c r="M23" s="21">
        <f>+IF('Precio Vino de Traslado'!L41="","",'Precio Vino de Traslado'!L41)</f>
        <v>-0.10228222313159607</v>
      </c>
      <c r="N23" s="175">
        <f>+IF('Precio Vino de Traslado'!J109="","",'Precio Vino de Traslado'!J109)</f>
        <v>34313.843509169878</v>
      </c>
      <c r="O23" s="175">
        <f>+IF('Precio Vino de Traslado'!K109="","",'Precio Vino de Traslado'!K109)</f>
        <v>28102.325809617276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28011.473584361051</v>
      </c>
      <c r="L24" s="175">
        <f>+IF('Precio Vino de Traslado'!K42="","",'Precio Vino de Traslado'!K42)</f>
        <v>25378.08014904318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37805.992513367019</v>
      </c>
      <c r="O24" s="175">
        <f>+IF('Precio Vino de Traslado'!K110="","",'Precio Vino de Traslado'!K110)</f>
        <v>25404.990723135434</v>
      </c>
      <c r="P24" s="22">
        <f>+IF('Precio Vino de Traslado'!L110="","",'Precio Vino de Traslado'!L110)</f>
        <v>-0.328016829232746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30767.743183686143</v>
      </c>
      <c r="L25" s="175">
        <f>+IF('Precio Vino de Traslado'!K43="","",'Precio Vino de Traslado'!K43)</f>
        <v>24261.053972237234</v>
      </c>
      <c r="M25" s="21">
        <f>+IF('Precio Vino de Traslado'!L43="","",'Precio Vino de Traslado'!L43)</f>
        <v>-0.21147762358140476</v>
      </c>
      <c r="N25" s="175">
        <f>+IF('Precio Vino de Traslado'!J111="","",'Precio Vino de Traslado'!J111)</f>
        <v>33777.011751431579</v>
      </c>
      <c r="O25" s="175">
        <f>+IF('Precio Vino de Traslado'!K111="","",'Precio Vino de Traslado'!K111)</f>
        <v>24917.068851181462</v>
      </c>
      <c r="P25" s="22">
        <f>+IF('Precio Vino de Traslado'!L111="","",'Precio Vino de Traslado'!L111)</f>
        <v>-0.26230688982942973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32428.287744287816</v>
      </c>
      <c r="L26" s="175">
        <f>+IF('Precio Vino de Traslado'!K44="","",'Precio Vino de Traslado'!K44)</f>
        <v>21434.899141600301</v>
      </c>
      <c r="M26" s="21">
        <f>+IF('Precio Vino de Traslado'!L44="","",'Precio Vino de Traslado'!L44)</f>
        <v>-0.3390061383868157</v>
      </c>
      <c r="N26" s="175">
        <f>+IF('Precio Vino de Traslado'!J112="","",'Precio Vino de Traslado'!J112)</f>
        <v>32719.672351132995</v>
      </c>
      <c r="O26" s="175">
        <f>+IF('Precio Vino de Traslado'!K112="","",'Precio Vino de Traslado'!K112)</f>
        <v>27217.442921106744</v>
      </c>
      <c r="P26" s="22">
        <f>+IF('Precio Vino de Traslado'!L112="","",'Precio Vino de Traslado'!L112)</f>
        <v>-0.16816273008417593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26719.883543965232</v>
      </c>
      <c r="L27" s="175" t="str">
        <f>+IF('Precio Vino de Traslado'!K45="","",'Precio Vino de Traslado'!K45)</f>
        <v/>
      </c>
      <c r="M27" s="21" t="str">
        <f>+IF('Precio Vino de Traslado'!L45="","",'Precio Vino de Traslado'!L45)</f>
        <v/>
      </c>
      <c r="N27" s="175">
        <f>+IF('Precio Vino de Traslado'!J113="","",'Precio Vino de Traslado'!J113)</f>
        <v>32792.383532586296</v>
      </c>
      <c r="O27" s="175" t="str">
        <f>+IF('Precio Vino de Traslado'!K113="","",'Precio Vino de Traslado'!K113)</f>
        <v/>
      </c>
      <c r="P27" s="22" t="str">
        <f>+IF('Precio Vino de Traslado'!L113="","",'Precio Vino de Traslado'!L113)</f>
        <v/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34437.269666559361</v>
      </c>
      <c r="L28" s="175" t="str">
        <f>+IF('Precio Vino de Traslado'!K46="","",'Precio Vino de Traslado'!K46)</f>
        <v/>
      </c>
      <c r="M28" s="21" t="str">
        <f>+IF('Precio Vino de Traslado'!L46="","",'Precio Vino de Traslado'!L46)</f>
        <v/>
      </c>
      <c r="N28" s="175">
        <f>+IF('Precio Vino de Traslado'!J114="","",'Precio Vino de Traslado'!J114)</f>
        <v>32236.231271914377</v>
      </c>
      <c r="O28" s="175" t="str">
        <f>+IF('Precio Vino de Traslado'!K114="","",'Precio Vino de Traslado'!K114)</f>
        <v/>
      </c>
      <c r="P28" s="22" t="str">
        <f>+IF('Precio Vino de Traslado'!L114="","",'Precio Vino de Traslado'!L114)</f>
        <v/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30782.368725979224</v>
      </c>
      <c r="L29" s="175" t="str">
        <f>+IF('Precio Vino de Traslado'!K47="","",'Precio Vino de Traslado'!K47)</f>
        <v/>
      </c>
      <c r="M29" s="21" t="str">
        <f>+IF('Precio Vino de Traslado'!L47="","",'Precio Vino de Traslado'!L47)</f>
        <v/>
      </c>
      <c r="N29" s="175">
        <f>+IF('Precio Vino de Traslado'!J115="","",'Precio Vino de Traslado'!J115)</f>
        <v>33220.106657338343</v>
      </c>
      <c r="O29" s="175" t="str">
        <f>+IF('Precio Vino de Traslado'!K115="","",'Precio Vino de Traslado'!K115)</f>
        <v/>
      </c>
      <c r="P29" s="22" t="str">
        <f>+IF('Precio Vino de Traslado'!L115="","",'Precio Vino de Traslado'!L115)</f>
        <v/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26675.949357907193</v>
      </c>
      <c r="L30" s="175" t="str">
        <f>+IF('Precio Vino de Traslado'!K48="","",'Precio Vino de Traslado'!K48)</f>
        <v/>
      </c>
      <c r="M30" s="21" t="str">
        <f>+IF('Precio Vino de Traslado'!L48="","",'Precio Vino de Traslado'!L48)</f>
        <v/>
      </c>
      <c r="N30" s="175">
        <f>+IF('Precio Vino de Traslado'!J116="","",'Precio Vino de Traslado'!J116)</f>
        <v>33762.398327579744</v>
      </c>
      <c r="O30" s="175" t="str">
        <f>+IF('Precio Vino de Traslado'!K116="","",'Precio Vino de Traslado'!K116)</f>
        <v/>
      </c>
      <c r="P30" s="22" t="str">
        <f>+IF('Precio Vino de Traslado'!L116="","",'Precio Vino de Traslado'!L116)</f>
        <v/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24859.575739781118</v>
      </c>
      <c r="L31" s="175" t="str">
        <f>+IF('Precio Vino de Traslado'!K49="","",'Precio Vino de Traslado'!K49)</f>
        <v/>
      </c>
      <c r="M31" s="21" t="str">
        <f>+IF('Precio Vino de Traslado'!L49="","",'Precio Vino de Traslado'!L49)</f>
        <v/>
      </c>
      <c r="N31" s="175">
        <f>+IF('Precio Vino de Traslado'!J117="","",'Precio Vino de Traslado'!J117)</f>
        <v>36467.051654492156</v>
      </c>
      <c r="O31" s="175" t="str">
        <f>+IF('Precio Vino de Traslado'!K117="","",'Precio Vino de Traslado'!K117)</f>
        <v/>
      </c>
      <c r="P31" s="22" t="str">
        <f>+IF('Precio Vino de Traslado'!L117="","",'Precio Vino de Traslado'!L117)</f>
        <v/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29812.296284159995</v>
      </c>
      <c r="L32" s="175" t="str">
        <f>+IF('Precio Vino de Traslado'!K50="","",'Precio Vino de Traslado'!K50)</f>
        <v/>
      </c>
      <c r="M32" s="21" t="str">
        <f>+IF('Precio Vino de Traslado'!L50="","",'Precio Vino de Traslado'!L50)</f>
        <v/>
      </c>
      <c r="N32" s="175">
        <f>+IF('Precio Vino de Traslado'!J118="","",'Precio Vino de Traslado'!J118)</f>
        <v>30365.35796736</v>
      </c>
      <c r="O32" s="175" t="str">
        <f>+IF('Precio Vino de Traslado'!K118="","",'Precio Vino de Traslado'!K118)</f>
        <v/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28048.489429999998</v>
      </c>
      <c r="L33" s="175" t="str">
        <f>+IF('Precio Vino de Traslado'!K51="","",'Precio Vino de Traslado'!K51)</f>
        <v/>
      </c>
      <c r="M33" s="21" t="str">
        <f>+IF('Precio Vino de Traslado'!L51="","",'Precio Vino de Traslado'!L51)</f>
        <v/>
      </c>
      <c r="N33" s="175">
        <f>+IF('Precio Vino de Traslado'!J119="","",'Precio Vino de Traslado'!J119)</f>
        <v>29165.526519999996</v>
      </c>
      <c r="O33" s="175" t="str">
        <f>+IF('Precio Vino de Traslado'!K119="","",'Precio Vino de Traslado'!K119)</f>
        <v/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26381.040000000005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28080.620000000003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06" t="s">
        <v>200</v>
      </c>
      <c r="L36" s="307"/>
      <c r="M36" s="312"/>
      <c r="N36" s="313" t="s">
        <v>201</v>
      </c>
      <c r="O36" s="307"/>
      <c r="P36" s="309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34201.483721943499</v>
      </c>
      <c r="L38" s="175">
        <f>+IF('Precio Vino de Traslado'!K24="","",'Precio Vino de Traslado'!K24)</f>
        <v>30817.203140333662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34388.98513413778</v>
      </c>
      <c r="O38" s="175">
        <f>+IF('Precio Vino de Traslado'!K92="","",'Precio Vino de Traslado'!K92)</f>
        <v>32344.131501472031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47430.001527696892</v>
      </c>
      <c r="L39" s="175">
        <f>+IF('Precio Vino de Traslado'!K25="","",'Precio Vino de Traslado'!K25)</f>
        <v>31099.049696393526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51271.147534925192</v>
      </c>
      <c r="O39" s="175">
        <f>+IF('Precio Vino de Traslado'!K93="","",'Precio Vino de Traslado'!K93)</f>
        <v>34952.523153827286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41499.218845563933</v>
      </c>
      <c r="L40" s="175">
        <f>+IF('Precio Vino de Traslado'!K26="","",'Precio Vino de Traslado'!K26)</f>
        <v>24430.443233576516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62520.546722605744</v>
      </c>
      <c r="O40" s="175">
        <f>+IF('Precio Vino de Traslado'!K94="","",'Precio Vino de Traslado'!K94)</f>
        <v>26373.461621311766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42369.493958249848</v>
      </c>
      <c r="L41" s="175">
        <f>+IF('Precio Vino de Traslado'!K27="","",'Precio Vino de Traslado'!K27)</f>
        <v>24789.122981537974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60143.108350535309</v>
      </c>
      <c r="O41" s="175">
        <f>+IF('Precio Vino de Traslado'!K95="","",'Precio Vino de Traslado'!K95)</f>
        <v>27217.442921106744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44046.413498368849</v>
      </c>
      <c r="L42" s="175" t="str">
        <f>+IF('Precio Vino de Traslado'!K28="","",'Precio Vino de Traslado'!K28)</f>
        <v/>
      </c>
      <c r="M42" s="21" t="str">
        <f>+IF('Precio Vino de Traslado'!L28="","",'Precio Vino de Traslado'!L28)</f>
        <v/>
      </c>
      <c r="N42" s="175">
        <f>+IF('Precio Vino de Traslado'!J96="","",'Precio Vino de Traslado'!J96)</f>
        <v>36728.807642862019</v>
      </c>
      <c r="O42" s="175" t="str">
        <f>+IF('Precio Vino de Traslado'!K96="","",'Precio Vino de Traslado'!K96)</f>
        <v/>
      </c>
      <c r="P42" s="22" t="str">
        <f>+IF('Precio Vino de Traslado'!L96="","",'Precio Vino de Traslado'!L96)</f>
        <v/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39169.618508022206</v>
      </c>
      <c r="L43" s="175" t="str">
        <f>+IF('Precio Vino de Traslado'!K29="","",'Precio Vino de Traslado'!K29)</f>
        <v/>
      </c>
      <c r="M43" s="21" t="str">
        <f>+IF('Precio Vino de Traslado'!L29="","",'Precio Vino de Traslado'!L29)</f>
        <v/>
      </c>
      <c r="N43" s="175">
        <f>+IF('Precio Vino de Traslado'!J97="","",'Precio Vino de Traslado'!J97)</f>
        <v>35666.607562635028</v>
      </c>
      <c r="O43" s="175" t="str">
        <f>+IF('Precio Vino de Traslado'!K97="","",'Precio Vino de Traslado'!K97)</f>
        <v/>
      </c>
      <c r="P43" s="22" t="str">
        <f>+IF('Precio Vino de Traslado'!L97="","",'Precio Vino de Traslado'!L97)</f>
        <v/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19217.216288485113</v>
      </c>
      <c r="L44" s="175" t="str">
        <f>+IF('Precio Vino de Traslado'!K30="","",'Precio Vino de Traslado'!K30)</f>
        <v/>
      </c>
      <c r="M44" s="21" t="str">
        <f>+IF('Precio Vino de Traslado'!L30="","",'Precio Vino de Traslado'!L30)</f>
        <v/>
      </c>
      <c r="N44" s="175">
        <f>+IF('Precio Vino de Traslado'!J98="","",'Precio Vino de Traslado'!J98)</f>
        <v>45483.086839141528</v>
      </c>
      <c r="O44" s="175" t="str">
        <f>+IF('Precio Vino de Traslado'!K98="","",'Precio Vino de Traslado'!K98)</f>
        <v/>
      </c>
      <c r="P44" s="22" t="str">
        <f>+IF('Precio Vino de Traslado'!L98="","",'Precio Vino de Traslado'!L98)</f>
        <v/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28504.350869289981</v>
      </c>
      <c r="L45" s="175" t="str">
        <f>+IF('Precio Vino de Traslado'!K31="","",'Precio Vino de Traslado'!K31)</f>
        <v/>
      </c>
      <c r="M45" s="21" t="str">
        <f>+IF('Precio Vino de Traslado'!L31="","",'Precio Vino de Traslado'!L31)</f>
        <v/>
      </c>
      <c r="N45" s="175">
        <f>+IF('Precio Vino de Traslado'!J99="","",'Precio Vino de Traslado'!J99)</f>
        <v>38394.151337312403</v>
      </c>
      <c r="O45" s="175" t="str">
        <f>+IF('Precio Vino de Traslado'!K99="","",'Precio Vino de Traslado'!K99)</f>
        <v/>
      </c>
      <c r="P45" s="22" t="str">
        <f>+IF('Precio Vino de Traslado'!L99="","",'Precio Vino de Traslado'!L99)</f>
        <v/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25697.796720926715</v>
      </c>
      <c r="L46" s="175" t="str">
        <f>+IF('Precio Vino de Traslado'!K32="","",'Precio Vino de Traslado'!K32)</f>
        <v/>
      </c>
      <c r="M46" s="21" t="str">
        <f>+IF('Precio Vino de Traslado'!L32="","",'Precio Vino de Traslado'!L32)</f>
        <v/>
      </c>
      <c r="N46" s="175">
        <f>+IF('Precio Vino de Traslado'!J100="","",'Precio Vino de Traslado'!J100)</f>
        <v>33465.570356408309</v>
      </c>
      <c r="O46" s="175" t="str">
        <f>+IF('Precio Vino de Traslado'!K100="","",'Precio Vino de Traslado'!K100)</f>
        <v/>
      </c>
      <c r="P46" s="22" t="str">
        <f>+IF('Precio Vino de Traslado'!L100="","",'Precio Vino de Traslado'!L100)</f>
        <v/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30630.152417280002</v>
      </c>
      <c r="L47" s="175" t="str">
        <f>+IF('Precio Vino de Traslado'!K33="","",'Precio Vino de Traslado'!K33)</f>
        <v/>
      </c>
      <c r="M47" s="21" t="str">
        <f>+IF('Precio Vino de Traslado'!L33="","",'Precio Vino de Traslado'!L33)</f>
        <v/>
      </c>
      <c r="N47" s="175">
        <f>+IF('Precio Vino de Traslado'!J101="","",'Precio Vino de Traslado'!J101)</f>
        <v>37788.625704959995</v>
      </c>
      <c r="O47" s="175" t="str">
        <f>+IF('Precio Vino de Traslado'!K101="","",'Precio Vino de Traslado'!K101)</f>
        <v/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37953.288229999991</v>
      </c>
      <c r="L48" s="175" t="str">
        <f>+IF('Precio Vino de Traslado'!K34="","",'Precio Vino de Traslado'!K34)</f>
        <v/>
      </c>
      <c r="M48" s="21" t="str">
        <f>+IF('Precio Vino de Traslado'!L34="","",'Precio Vino de Traslado'!L34)</f>
        <v/>
      </c>
      <c r="N48" s="175">
        <f>+IF('Precio Vino de Traslado'!J102="","",'Precio Vino de Traslado'!J102)</f>
        <v>38198.679609999999</v>
      </c>
      <c r="O48" s="175" t="str">
        <f>+IF('Precio Vino de Traslado'!K102="","",'Precio Vino de Traslado'!K102)</f>
        <v/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38946.120000000003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30499.309999999998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06" t="s">
        <v>202</v>
      </c>
      <c r="L51" s="307"/>
      <c r="M51" s="312"/>
      <c r="N51" s="313" t="s">
        <v>203</v>
      </c>
      <c r="O51" s="307"/>
      <c r="P51" s="309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36942.299359009849</v>
      </c>
      <c r="L53" s="175">
        <f>+IF('Precio Vino de Traslado'!K58="","",'Precio Vino de Traslado'!K58)</f>
        <v>30232.129538763496</v>
      </c>
      <c r="M53" s="21">
        <f>+IF('Precio Vino de Traslado'!L58="","",'Precio Vino de Traslado'!L58)</f>
        <v>-0.18163920320811899</v>
      </c>
      <c r="N53" s="175">
        <f>+IF('Precio Vino de Traslado'!J126="","",'Precio Vino de Traslado'!J126)</f>
        <v>55687.883252446889</v>
      </c>
      <c r="O53" s="175">
        <f>+IF('Precio Vino de Traslado'!K126="","",'Precio Vino de Traslado'!K126)</f>
        <v>39067.095191364089</v>
      </c>
      <c r="P53" s="22">
        <f>+IF('Precio Vino de Traslado'!L126="","",'Precio Vino de Traslado'!L126)</f>
        <v>-0.29846327585727539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41025.008182610065</v>
      </c>
      <c r="L54" s="175">
        <f>+IF('Precio Vino de Traslado'!K59="","",'Precio Vino de Traslado'!K59)</f>
        <v>30292.872914622181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53114.325684079638</v>
      </c>
      <c r="O54" s="175">
        <f>+IF('Precio Vino de Traslado'!K127="","",'Precio Vino de Traslado'!K127)</f>
        <v>39834.98106292935</v>
      </c>
      <c r="P54" s="22">
        <f>+IF('Precio Vino de Traslado'!L127="","",'Precio Vino de Traslado'!L127)</f>
        <v>-0.2500143690072415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41654.731208415651</v>
      </c>
      <c r="L55" s="175">
        <f>+IF('Precio Vino de Traslado'!K60="","",'Precio Vino de Traslado'!K60)</f>
        <v>29514.20967504588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55265.150176991003</v>
      </c>
      <c r="O55" s="175">
        <f>+IF('Precio Vino de Traslado'!K128="","",'Precio Vino de Traslado'!K128)</f>
        <v>37122.50361501766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42226.40105897875</v>
      </c>
      <c r="L56" s="175">
        <f>+IF('Precio Vino de Traslado'!K61="","",'Precio Vino de Traslado'!K61)</f>
        <v>29163.194988101368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48855.834098731924</v>
      </c>
      <c r="O56" s="175">
        <f>+IF('Precio Vino de Traslado'!K129="","",'Precio Vino de Traslado'!K129)</f>
        <v>36648.557254979649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40388.308813026204</v>
      </c>
      <c r="L57" s="175" t="str">
        <f>+IF('Precio Vino de Traslado'!K62="","",'Precio Vino de Traslado'!K62)</f>
        <v/>
      </c>
      <c r="M57" s="21" t="str">
        <f>+IF('Precio Vino de Traslado'!L62="","",'Precio Vino de Traslado'!L62)</f>
        <v/>
      </c>
      <c r="N57" s="175">
        <f>+IF('Precio Vino de Traslado'!J130="","",'Precio Vino de Traslado'!J130)</f>
        <v>48330.130688445206</v>
      </c>
      <c r="O57" s="175" t="str">
        <f>+IF('Precio Vino de Traslado'!K130="","",'Precio Vino de Traslado'!K130)</f>
        <v/>
      </c>
      <c r="P57" s="22" t="str">
        <f>+IF('Precio Vino de Traslado'!L130="","",'Precio Vino de Traslado'!L130)</f>
        <v/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47671.761650396118</v>
      </c>
      <c r="L58" s="175" t="str">
        <f>+IF('Precio Vino de Traslado'!K63="","",'Precio Vino de Traslado'!K63)</f>
        <v/>
      </c>
      <c r="M58" s="21" t="str">
        <f>+IF('Precio Vino de Traslado'!L63="","",'Precio Vino de Traslado'!L63)</f>
        <v/>
      </c>
      <c r="N58" s="175">
        <f>+IF('Precio Vino de Traslado'!J131="","",'Precio Vino de Traslado'!J131)</f>
        <v>48903.086218147109</v>
      </c>
      <c r="O58" s="175" t="str">
        <f>+IF('Precio Vino de Traslado'!K131="","",'Precio Vino de Traslado'!K131)</f>
        <v/>
      </c>
      <c r="P58" s="22" t="str">
        <f>+IF('Precio Vino de Traslado'!L131="","",'Precio Vino de Traslado'!L131)</f>
        <v/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36551.054783065651</v>
      </c>
      <c r="L59" s="175" t="str">
        <f>+IF('Precio Vino de Traslado'!K64="","",'Precio Vino de Traslado'!K64)</f>
        <v/>
      </c>
      <c r="M59" s="21" t="str">
        <f>+IF('Precio Vino de Traslado'!L64="","",'Precio Vino de Traslado'!L64)</f>
        <v/>
      </c>
      <c r="N59" s="175">
        <f>+IF('Precio Vino de Traslado'!J132="","",'Precio Vino de Traslado'!J132)</f>
        <v>45403.263545338334</v>
      </c>
      <c r="O59" s="175" t="str">
        <f>+IF('Precio Vino de Traslado'!K132="","",'Precio Vino de Traslado'!K132)</f>
        <v/>
      </c>
      <c r="P59" s="22" t="str">
        <f>+IF('Precio Vino de Traslado'!L132="","",'Precio Vino de Traslado'!L132)</f>
        <v/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36953.351048719858</v>
      </c>
      <c r="L60" s="175" t="str">
        <f>+IF('Precio Vino de Traslado'!K65="","",'Precio Vino de Traslado'!K65)</f>
        <v/>
      </c>
      <c r="M60" s="21" t="str">
        <f>+IF('Precio Vino de Traslado'!L65="","",'Precio Vino de Traslado'!L65)</f>
        <v/>
      </c>
      <c r="N60" s="175">
        <f>+IF('Precio Vino de Traslado'!J133="","",'Precio Vino de Traslado'!J133)</f>
        <v>46358.700291233734</v>
      </c>
      <c r="O60" s="175" t="str">
        <f>+IF('Precio Vino de Traslado'!K133="","",'Precio Vino de Traslado'!K133)</f>
        <v/>
      </c>
      <c r="P60" s="22" t="str">
        <f>+IF('Precio Vino de Traslado'!L133="","",'Precio Vino de Traslado'!L133)</f>
        <v/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31237.626294384634</v>
      </c>
      <c r="L61" s="175" t="str">
        <f>+IF('Precio Vino de Traslado'!K66="","",'Precio Vino de Traslado'!K66)</f>
        <v/>
      </c>
      <c r="M61" s="21" t="str">
        <f>+IF('Precio Vino de Traslado'!L66="","",'Precio Vino de Traslado'!L66)</f>
        <v/>
      </c>
      <c r="N61" s="175">
        <f>+IF('Precio Vino de Traslado'!J134="","",'Precio Vino de Traslado'!J134)</f>
        <v>40143.073493452794</v>
      </c>
      <c r="O61" s="175" t="str">
        <f>+IF('Precio Vino de Traslado'!K134="","",'Precio Vino de Traslado'!K134)</f>
        <v/>
      </c>
      <c r="P61" s="22" t="str">
        <f>+IF('Precio Vino de Traslado'!L134="","",'Precio Vino de Traslado'!L134)</f>
        <v/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37807.860346879999</v>
      </c>
      <c r="L62" s="175" t="str">
        <f>+IF('Precio Vino de Traslado'!K67="","",'Precio Vino de Traslado'!K67)</f>
        <v/>
      </c>
      <c r="M62" s="21" t="str">
        <f>+IF('Precio Vino de Traslado'!L67="","",'Precio Vino de Traslado'!L67)</f>
        <v/>
      </c>
      <c r="N62" s="175">
        <f>+IF('Precio Vino de Traslado'!J135="","",'Precio Vino de Traslado'!J135)</f>
        <v>42267.489372159995</v>
      </c>
      <c r="O62" s="175" t="str">
        <f>+IF('Precio Vino de Traslado'!K135="","",'Precio Vino de Traslado'!K135)</f>
        <v/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37328.687369999992</v>
      </c>
      <c r="L63" s="175" t="str">
        <f>+IF('Precio Vino de Traslado'!K68="","",'Precio Vino de Traslado'!K68)</f>
        <v/>
      </c>
      <c r="M63" s="21" t="str">
        <f>+IF('Precio Vino de Traslado'!L68="","",'Precio Vino de Traslado'!L68)</f>
        <v/>
      </c>
      <c r="N63" s="175">
        <f>+IF('Precio Vino de Traslado'!J136="","",'Precio Vino de Traslado'!J136)</f>
        <v>39120.80236999999</v>
      </c>
      <c r="O63" s="175" t="str">
        <f>+IF('Precio Vino de Traslado'!K136="","",'Precio Vino de Traslado'!K136)</f>
        <v/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33518.620000000003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37528.51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39"/>
  <sheetViews>
    <sheetView workbookViewId="0">
      <selection activeCell="Z67" sqref="Z67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31" t="s">
        <v>17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18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3.5" thickBot="1" x14ac:dyDescent="0.3"/>
    <row r="5" spans="1:28" ht="15.75" customHeight="1" thickBot="1" x14ac:dyDescent="0.3">
      <c r="A5" s="325" t="s">
        <v>222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N5" s="325" t="s">
        <v>223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2">+SUM(C7)+SUM(B8:B18)</f>
        <v>203.822913</v>
      </c>
      <c r="Q7" s="6">
        <f t="shared" si="2"/>
        <v>190.96379999999996</v>
      </c>
      <c r="R7" s="6">
        <f t="shared" si="2"/>
        <v>188.87270000000001</v>
      </c>
      <c r="S7" s="6">
        <f t="shared" si="2"/>
        <v>216.428</v>
      </c>
      <c r="T7" s="6">
        <f t="shared" si="2"/>
        <v>255.76759999999999</v>
      </c>
      <c r="U7" s="6">
        <f t="shared" si="2"/>
        <v>248.68670000000003</v>
      </c>
      <c r="V7" s="6">
        <f t="shared" si="2"/>
        <v>266.07119999999998</v>
      </c>
      <c r="W7" s="67">
        <f t="shared" si="2"/>
        <v>224.84519999999995</v>
      </c>
      <c r="X7" s="37">
        <f t="shared" si="2"/>
        <v>226.7063</v>
      </c>
      <c r="Y7" s="78">
        <f>+X7/W7-1</f>
        <v>8.2772503037646938E-3</v>
      </c>
      <c r="Z7" s="7">
        <f>+POWER(X7/S7,0.2)-1</f>
        <v>9.322671600205279E-3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>+K8/J8-1</f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3">+SUM(C7:C8)+SUM(B9:B18)</f>
        <v>201.81571299999999</v>
      </c>
      <c r="Q8" s="6">
        <f t="shared" si="3"/>
        <v>192.44149999999996</v>
      </c>
      <c r="R8" s="6">
        <f t="shared" si="3"/>
        <v>188.97130000000004</v>
      </c>
      <c r="S8" s="6">
        <f t="shared" si="3"/>
        <v>217.33330000000004</v>
      </c>
      <c r="T8" s="6">
        <f t="shared" si="3"/>
        <v>259.05600000000004</v>
      </c>
      <c r="U8" s="6">
        <f t="shared" si="3"/>
        <v>250.31540000000001</v>
      </c>
      <c r="V8" s="6">
        <f t="shared" si="3"/>
        <v>262.54419999999999</v>
      </c>
      <c r="W8" s="67">
        <f t="shared" si="3"/>
        <v>224.92409999999998</v>
      </c>
      <c r="X8" s="37">
        <f t="shared" si="3"/>
        <v>226.02430000000004</v>
      </c>
      <c r="Y8" s="78">
        <f>+X8/W8-1</f>
        <v>4.8914278194291949E-3</v>
      </c>
      <c r="Z8" s="7">
        <f>+POWER(X8/S8,0.2)-1</f>
        <v>7.8729087858249169E-3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>+K9/J9-1</f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4">+SUM(C7:C9)+SUM(B10:B18)</f>
        <v>200.54981299999997</v>
      </c>
      <c r="Q9" s="6">
        <f t="shared" si="4"/>
        <v>191.98929999999996</v>
      </c>
      <c r="R9" s="6">
        <f t="shared" si="4"/>
        <v>190.5273</v>
      </c>
      <c r="S9" s="6">
        <f t="shared" si="4"/>
        <v>219.1377</v>
      </c>
      <c r="T9" s="6">
        <f t="shared" si="4"/>
        <v>260.95999999999998</v>
      </c>
      <c r="U9" s="6">
        <f t="shared" si="4"/>
        <v>253.75720000000001</v>
      </c>
      <c r="V9" s="6">
        <f t="shared" si="4"/>
        <v>258.07260000000002</v>
      </c>
      <c r="W9" s="67">
        <f t="shared" si="4"/>
        <v>222.76229999999998</v>
      </c>
      <c r="X9" s="37">
        <f t="shared" si="4"/>
        <v>228.21859999999998</v>
      </c>
      <c r="Y9" s="78">
        <f>+X9/W9-1</f>
        <v>2.4493821441060826E-2</v>
      </c>
      <c r="Z9" s="7">
        <f>+POWER(X9/S9,0.2)-1</f>
        <v>8.1537909934408237E-3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>+K10/J10-1</f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5">+SUM(C7:C10)+SUM(B11:B18)</f>
        <v>197.85871299999999</v>
      </c>
      <c r="Q10" s="6">
        <f t="shared" si="5"/>
        <v>192.41769999999997</v>
      </c>
      <c r="R10" s="6">
        <f t="shared" si="5"/>
        <v>192.31569999999999</v>
      </c>
      <c r="S10" s="6">
        <f t="shared" si="5"/>
        <v>219.8742</v>
      </c>
      <c r="T10" s="6">
        <f t="shared" si="5"/>
        <v>264.41460000000001</v>
      </c>
      <c r="U10" s="6">
        <f t="shared" si="5"/>
        <v>255.0258</v>
      </c>
      <c r="V10" s="6">
        <f t="shared" si="5"/>
        <v>253.64300000000003</v>
      </c>
      <c r="W10" s="67">
        <f t="shared" si="5"/>
        <v>223.86739999999998</v>
      </c>
      <c r="X10" s="37">
        <f t="shared" si="5"/>
        <v>231.21459999999999</v>
      </c>
      <c r="Y10" s="78">
        <f>+X10/W10-1</f>
        <v>3.2819427929211775E-2</v>
      </c>
      <c r="Z10" s="7">
        <f>+POWER(X10/S10,0.2)-1</f>
        <v>1.0108896941025458E-2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26.308199999999999</v>
      </c>
      <c r="K11" s="67"/>
      <c r="L11" s="7"/>
      <c r="N11" s="42" t="s">
        <v>2</v>
      </c>
      <c r="O11" s="6">
        <f>+SUM('[1]1.CONSUMO ARGENTINA POR TIPO '!B310:B321)/10000</f>
        <v>220.226887</v>
      </c>
      <c r="P11" s="6">
        <f t="shared" ref="P11:W11" si="6">+SUM(C7:C11)+SUM(B12:B18)</f>
        <v>197.043813</v>
      </c>
      <c r="Q11" s="6">
        <f t="shared" si="6"/>
        <v>191.2817</v>
      </c>
      <c r="R11" s="6">
        <f t="shared" si="6"/>
        <v>198.09180000000001</v>
      </c>
      <c r="S11" s="6">
        <f t="shared" si="6"/>
        <v>221.81550000000001</v>
      </c>
      <c r="T11" s="6">
        <f t="shared" si="6"/>
        <v>263.24699999999996</v>
      </c>
      <c r="U11" s="6">
        <f t="shared" si="6"/>
        <v>256.20669999999996</v>
      </c>
      <c r="V11" s="6">
        <f t="shared" si="6"/>
        <v>252.71629999999999</v>
      </c>
      <c r="W11" s="67">
        <f t="shared" si="6"/>
        <v>229.6123</v>
      </c>
      <c r="X11" s="37"/>
      <c r="Y11" s="78"/>
      <c r="Z11" s="7"/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15.931800000000001</v>
      </c>
      <c r="K12" s="67"/>
      <c r="L12" s="7"/>
      <c r="N12" s="42" t="s">
        <v>3</v>
      </c>
      <c r="O12" s="6">
        <f>+SUM('[1]1.CONSUMO ARGENTINA POR TIPO '!B311:B322)/10000</f>
        <v>215.21094600000001</v>
      </c>
      <c r="P12" s="6">
        <f t="shared" ref="P12:W12" si="7">+SUM(C7:C12)+SUM(B13:B18)</f>
        <v>197.97641300000001</v>
      </c>
      <c r="Q12" s="6">
        <f t="shared" si="7"/>
        <v>190.33969999999999</v>
      </c>
      <c r="R12" s="6">
        <f t="shared" si="7"/>
        <v>200.3261</v>
      </c>
      <c r="S12" s="6">
        <f t="shared" si="7"/>
        <v>226.203</v>
      </c>
      <c r="T12" s="6">
        <f t="shared" si="7"/>
        <v>265.40269999999998</v>
      </c>
      <c r="U12" s="6">
        <f t="shared" si="7"/>
        <v>258.17650000000003</v>
      </c>
      <c r="V12" s="6">
        <f t="shared" si="7"/>
        <v>244.1241</v>
      </c>
      <c r="W12" s="67">
        <f t="shared" si="7"/>
        <v>227.58139999999997</v>
      </c>
      <c r="X12" s="37"/>
      <c r="Y12" s="78"/>
      <c r="Z12" s="7"/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/>
      <c r="L13" s="7"/>
      <c r="N13" s="42" t="s">
        <v>4</v>
      </c>
      <c r="O13" s="6">
        <f>+SUM('[1]1.CONSUMO ARGENTINA POR TIPO '!B312:B323)/10000</f>
        <v>211.13736299999999</v>
      </c>
      <c r="P13" s="6">
        <f t="shared" ref="P13:W13" si="8">+SUM(C7:C13)+SUM(B14:B18)</f>
        <v>199.004413</v>
      </c>
      <c r="Q13" s="6">
        <f t="shared" si="8"/>
        <v>188.41370000000001</v>
      </c>
      <c r="R13" s="6">
        <f t="shared" si="8"/>
        <v>203.72030000000001</v>
      </c>
      <c r="S13" s="6">
        <f t="shared" si="8"/>
        <v>232.8355</v>
      </c>
      <c r="T13" s="6">
        <f t="shared" si="8"/>
        <v>260.6019</v>
      </c>
      <c r="U13" s="6">
        <f t="shared" si="8"/>
        <v>261.14600000000002</v>
      </c>
      <c r="V13" s="6">
        <f t="shared" si="8"/>
        <v>238.82940000000002</v>
      </c>
      <c r="W13" s="67">
        <f t="shared" si="8"/>
        <v>229.57769999999999</v>
      </c>
      <c r="X13" s="67"/>
      <c r="Y13" s="78"/>
      <c r="Z13" s="7"/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/>
      <c r="L14" s="7"/>
      <c r="N14" s="42" t="s">
        <v>5</v>
      </c>
      <c r="O14" s="6">
        <f>+SUM('[1]1.CONSUMO ARGENTINA POR TIPO '!B313:B324)/10000</f>
        <v>215.921389</v>
      </c>
      <c r="P14" s="6">
        <f t="shared" ref="P14:W14" si="9">+SUM(C7:C14)+SUM(B15:B18)</f>
        <v>194.26961299999999</v>
      </c>
      <c r="Q14" s="6">
        <f t="shared" si="9"/>
        <v>187.32490000000001</v>
      </c>
      <c r="R14" s="6">
        <f t="shared" si="9"/>
        <v>205.51159999999999</v>
      </c>
      <c r="S14" s="6">
        <f t="shared" si="9"/>
        <v>236.86849999999998</v>
      </c>
      <c r="T14" s="6">
        <f t="shared" si="9"/>
        <v>260.80160000000001</v>
      </c>
      <c r="U14" s="6">
        <f t="shared" si="9"/>
        <v>263.80119999999999</v>
      </c>
      <c r="V14" s="6">
        <f t="shared" si="9"/>
        <v>234.2321</v>
      </c>
      <c r="W14" s="67">
        <f t="shared" si="9"/>
        <v>229.07039999999998</v>
      </c>
      <c r="X14" s="67"/>
      <c r="Y14" s="78"/>
      <c r="Z14" s="7"/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/>
      <c r="L15" s="7"/>
      <c r="N15" s="42" t="s">
        <v>6</v>
      </c>
      <c r="O15" s="6">
        <f>+SUM('[1]1.CONSUMO ARGENTINA POR TIPO '!B314:B325)/10000</f>
        <v>217.43074999999999</v>
      </c>
      <c r="P15" s="6">
        <f t="shared" ref="P15:W15" si="10">+SUM(C7:C15)+SUM(B16:B18)</f>
        <v>188.851913</v>
      </c>
      <c r="Q15" s="6">
        <f t="shared" si="10"/>
        <v>188.43710000000002</v>
      </c>
      <c r="R15" s="6">
        <f t="shared" si="10"/>
        <v>207.65600000000001</v>
      </c>
      <c r="S15" s="6">
        <f t="shared" si="10"/>
        <v>242.81959999999998</v>
      </c>
      <c r="T15" s="6">
        <f t="shared" si="10"/>
        <v>254.67570000000001</v>
      </c>
      <c r="U15" s="6">
        <f t="shared" si="10"/>
        <v>269.57710000000003</v>
      </c>
      <c r="V15" s="6">
        <f t="shared" si="10"/>
        <v>230.30539999999999</v>
      </c>
      <c r="W15" s="67">
        <f t="shared" si="10"/>
        <v>229.66079999999999</v>
      </c>
      <c r="X15" s="37"/>
      <c r="Y15" s="78"/>
      <c r="Z15" s="7"/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11">+SUM(C7:C16)+SUM(B17:B18)</f>
        <v>189.84191300000003</v>
      </c>
      <c r="Q16" s="6">
        <f t="shared" si="11"/>
        <v>186.02019999999999</v>
      </c>
      <c r="R16" s="6">
        <f t="shared" si="11"/>
        <v>211.13499999999999</v>
      </c>
      <c r="S16" s="6">
        <f t="shared" si="11"/>
        <v>245.13920000000002</v>
      </c>
      <c r="T16" s="6">
        <f t="shared" si="11"/>
        <v>249.50889999999998</v>
      </c>
      <c r="U16" s="6">
        <f t="shared" si="11"/>
        <v>273.34580000000005</v>
      </c>
      <c r="V16" s="6">
        <f t="shared" si="11"/>
        <v>228.48469999999998</v>
      </c>
      <c r="W16" s="67">
        <f t="shared" si="11"/>
        <v>226.95060000000001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12">+SUM(C7:C17)+SUM(B18)</f>
        <v>190.66301300000001</v>
      </c>
      <c r="Q17" s="6">
        <f t="shared" si="12"/>
        <v>183.18680000000001</v>
      </c>
      <c r="R17" s="6">
        <f t="shared" si="12"/>
        <v>215.15819999999999</v>
      </c>
      <c r="S17" s="6">
        <f t="shared" si="12"/>
        <v>248.5565</v>
      </c>
      <c r="T17" s="6">
        <f t="shared" si="12"/>
        <v>248.39139999999998</v>
      </c>
      <c r="U17" s="6">
        <f t="shared" si="12"/>
        <v>274.24170000000004</v>
      </c>
      <c r="V17" s="6">
        <f t="shared" si="12"/>
        <v>226.21039999999996</v>
      </c>
      <c r="W17" s="67">
        <f t="shared" si="12"/>
        <v>225.74519999999998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13">+SUM(C7:C18)</f>
        <v>190.700613</v>
      </c>
      <c r="Q18" s="6">
        <f t="shared" si="13"/>
        <v>186.27010000000001</v>
      </c>
      <c r="R18" s="6">
        <f t="shared" si="13"/>
        <v>216.21199999999999</v>
      </c>
      <c r="S18" s="6">
        <f t="shared" si="13"/>
        <v>250.81399999999999</v>
      </c>
      <c r="T18" s="6">
        <f t="shared" si="13"/>
        <v>250.40859999999998</v>
      </c>
      <c r="U18" s="6">
        <f t="shared" si="13"/>
        <v>268.05240000000003</v>
      </c>
      <c r="V18" s="6">
        <f t="shared" si="13"/>
        <v>227.12739999999997</v>
      </c>
      <c r="W18" s="67">
        <f t="shared" si="13"/>
        <v>224.2833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186">
        <f t="shared" ref="J19" si="16">SUM(J7:J18)</f>
        <v>224.2833</v>
      </c>
      <c r="K19" s="186"/>
      <c r="L19" s="165"/>
      <c r="M19" s="3"/>
      <c r="N19" s="43" t="s">
        <v>14</v>
      </c>
      <c r="O19" s="46">
        <f t="shared" ref="O19" si="17">+AVERAGE(O7:O18)</f>
        <v>216.34902616666668</v>
      </c>
      <c r="P19" s="46">
        <f>+AVERAGE(P7:P18)</f>
        <v>196.03323799999998</v>
      </c>
      <c r="Q19" s="46">
        <f t="shared" ref="Q19:T19" si="18">+AVERAGE(Q7:Q18)</f>
        <v>189.0905416666667</v>
      </c>
      <c r="R19" s="46">
        <f t="shared" si="18"/>
        <v>201.54150000000001</v>
      </c>
      <c r="S19" s="46">
        <f t="shared" si="18"/>
        <v>231.48541666666665</v>
      </c>
      <c r="T19" s="46">
        <f t="shared" si="18"/>
        <v>257.76966666666664</v>
      </c>
      <c r="U19" s="226">
        <f t="shared" ref="U19:V19" si="19">+AVERAGE(U7:U18)</f>
        <v>261.02770833333335</v>
      </c>
      <c r="V19" s="226">
        <f t="shared" si="19"/>
        <v>243.53006666666667</v>
      </c>
      <c r="W19" s="220">
        <f t="shared" ref="W19:X19" si="20">+AVERAGE(W7:W18)</f>
        <v>226.57339166666668</v>
      </c>
      <c r="X19" s="197">
        <f t="shared" si="20"/>
        <v>228.04095000000001</v>
      </c>
      <c r="Y19" s="79"/>
      <c r="Z19" s="75"/>
    </row>
    <row r="20" spans="1:26" ht="25.5" x14ac:dyDescent="0.25">
      <c r="A20" s="57" t="s">
        <v>15</v>
      </c>
      <c r="B20" s="195">
        <f t="shared" ref="B20:G20" si="21">+B19/B$73</f>
        <v>0.21855000116817716</v>
      </c>
      <c r="C20" s="58">
        <f t="shared" si="21"/>
        <v>0.21366943640525579</v>
      </c>
      <c r="D20" s="58">
        <f t="shared" si="21"/>
        <v>0.2218552097475697</v>
      </c>
      <c r="E20" s="58">
        <f t="shared" si="21"/>
        <v>0.24423578492764775</v>
      </c>
      <c r="F20" s="58">
        <f t="shared" si="21"/>
        <v>0.26598419582131183</v>
      </c>
      <c r="G20" s="58">
        <f t="shared" si="21"/>
        <v>0.29878293091693375</v>
      </c>
      <c r="H20" s="58">
        <f t="shared" ref="H20:I20" si="22">+H19/H$73</f>
        <v>0.32388741650956776</v>
      </c>
      <c r="I20" s="58">
        <f t="shared" si="22"/>
        <v>0.2929692508399116</v>
      </c>
      <c r="J20" s="189">
        <f t="shared" ref="J20" si="23">+J19/J$73</f>
        <v>0.29411006099823461</v>
      </c>
      <c r="K20" s="189"/>
      <c r="L20" s="59"/>
      <c r="M20" s="3"/>
      <c r="N20" s="44" t="s">
        <v>15</v>
      </c>
      <c r="O20" s="48">
        <f t="shared" ref="O20:T20" si="24">+O19/O$73</f>
        <v>0.21985847584556573</v>
      </c>
      <c r="P20" s="48">
        <f t="shared" si="24"/>
        <v>0.21490148446716639</v>
      </c>
      <c r="Q20" s="48">
        <f t="shared" si="24"/>
        <v>0.21727564310707764</v>
      </c>
      <c r="R20" s="48">
        <f t="shared" si="24"/>
        <v>0.23582960780426299</v>
      </c>
      <c r="S20" s="48">
        <f t="shared" si="24"/>
        <v>0.25198853523262049</v>
      </c>
      <c r="T20" s="48">
        <f t="shared" si="24"/>
        <v>0.29172289582362015</v>
      </c>
      <c r="U20" s="58">
        <f t="shared" ref="U20:V20" si="25">+U19/U$73</f>
        <v>0.30981230561947293</v>
      </c>
      <c r="V20" s="58">
        <f t="shared" si="25"/>
        <v>0.30840328326841626</v>
      </c>
      <c r="W20" s="189">
        <f t="shared" ref="W20:X20" si="26">+W19/W$73</f>
        <v>0.29589338013440336</v>
      </c>
      <c r="X20" s="188">
        <f t="shared" si="26"/>
        <v>0.29558832414340358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27">+D19/C19-1</f>
        <v>-2.3232819917574088E-2</v>
      </c>
      <c r="E21" s="62">
        <f t="shared" si="27"/>
        <v>0.16074453173107206</v>
      </c>
      <c r="F21" s="62">
        <f t="shared" si="27"/>
        <v>0.16003737072872926</v>
      </c>
      <c r="G21" s="62">
        <f t="shared" si="27"/>
        <v>-1.616337206057139E-3</v>
      </c>
      <c r="H21" s="62">
        <f t="shared" si="27"/>
        <v>7.0460040110443822E-2</v>
      </c>
      <c r="I21" s="62">
        <f t="shared" si="27"/>
        <v>-0.15267537242718243</v>
      </c>
      <c r="J21" s="190">
        <f t="shared" si="27"/>
        <v>-1.252204709779603E-2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28">+Q19/P19-1</f>
        <v>-3.5415914179478536E-2</v>
      </c>
      <c r="R21" s="50">
        <f t="shared" ref="R21" si="29">+R19/Q19-1</f>
        <v>6.5846542209827552E-2</v>
      </c>
      <c r="S21" s="50">
        <f t="shared" ref="S21:X21" si="30">+S19/R19-1</f>
        <v>0.14857444579238832</v>
      </c>
      <c r="T21" s="50">
        <f t="shared" si="30"/>
        <v>0.11354602971749483</v>
      </c>
      <c r="U21" s="62">
        <f t="shared" si="30"/>
        <v>1.2639352445141805E-2</v>
      </c>
      <c r="V21" s="62">
        <f t="shared" si="30"/>
        <v>-6.7033656229024241E-2</v>
      </c>
      <c r="W21" s="190">
        <f t="shared" si="30"/>
        <v>-6.9628671449466384E-2</v>
      </c>
      <c r="X21" s="187">
        <f t="shared" si="30"/>
        <v>6.4771874690934261E-3</v>
      </c>
      <c r="Y21" s="73"/>
      <c r="Z21" s="52"/>
    </row>
    <row r="22" spans="1:26" ht="13.5" thickBot="1" x14ac:dyDescent="0.3"/>
    <row r="23" spans="1:26" ht="13.5" thickBot="1" x14ac:dyDescent="0.3">
      <c r="A23" s="325" t="s">
        <v>228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N23" s="325" t="s">
        <v>229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32">+P24+1</f>
        <v>2018</v>
      </c>
      <c r="R24" s="64">
        <f t="shared" ref="R24" si="33">+Q24+1</f>
        <v>2019</v>
      </c>
      <c r="S24" s="64">
        <f t="shared" ref="S24" si="34">+R24+1</f>
        <v>2020</v>
      </c>
      <c r="T24" s="64">
        <f t="shared" ref="T24" si="35">+S24+1</f>
        <v>2021</v>
      </c>
      <c r="U24" s="39">
        <f t="shared" ref="U24" si="36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37">+SUM(C25)+SUM(B26:B36)</f>
        <v>680.7709000000001</v>
      </c>
      <c r="Q25" s="6">
        <f t="shared" si="37"/>
        <v>659.31950000000006</v>
      </c>
      <c r="R25" s="6">
        <f t="shared" si="37"/>
        <v>615.7829999999999</v>
      </c>
      <c r="S25" s="6">
        <f t="shared" si="37"/>
        <v>644.96390000000008</v>
      </c>
      <c r="T25" s="6">
        <f t="shared" si="37"/>
        <v>652.5646999999999</v>
      </c>
      <c r="U25" s="6">
        <f t="shared" si="37"/>
        <v>542.30870000000004</v>
      </c>
      <c r="V25" s="6">
        <f t="shared" si="37"/>
        <v>514.59899999999993</v>
      </c>
      <c r="W25" s="67">
        <f t="shared" si="37"/>
        <v>505.2998</v>
      </c>
      <c r="X25" s="37">
        <f t="shared" ref="X25" si="38">+SUM(K25)+SUM(J26:J36)</f>
        <v>510.51709999999997</v>
      </c>
      <c r="Y25" s="78">
        <f>+X25/W25-1</f>
        <v>1.0325157460976619E-2</v>
      </c>
      <c r="Z25" s="7">
        <f>+POWER(X25/S25,0.2)-1</f>
        <v>-4.5677908620555874E-2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39">+SUM(C25:C26)+SUM(B27:B36)</f>
        <v>674.2813000000001</v>
      </c>
      <c r="Q26" s="6">
        <f t="shared" si="39"/>
        <v>657.29070000000002</v>
      </c>
      <c r="R26" s="6">
        <f t="shared" si="39"/>
        <v>618.72320000000002</v>
      </c>
      <c r="S26" s="6">
        <f t="shared" si="39"/>
        <v>648.76300000000003</v>
      </c>
      <c r="T26" s="6">
        <f t="shared" si="39"/>
        <v>642.7645</v>
      </c>
      <c r="U26" s="6">
        <f t="shared" si="39"/>
        <v>539.6028</v>
      </c>
      <c r="V26" s="6">
        <f t="shared" si="39"/>
        <v>511.37710000000004</v>
      </c>
      <c r="W26" s="67">
        <f>+SUM(J25:J26)+SUM(I27:I36)</f>
        <v>506.41149999999999</v>
      </c>
      <c r="X26" s="37">
        <f t="shared" ref="X26" si="40">+SUM(K25:K26)+SUM(J27:J36)</f>
        <v>514.03780000000006</v>
      </c>
      <c r="Y26" s="78">
        <f>+X26/W26-1</f>
        <v>1.5059492132386554E-2</v>
      </c>
      <c r="Z26" s="7">
        <f>+POWER(X26/S26,0.2)-1</f>
        <v>-4.5487112278068009E-2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41">+SUM(C25:C27)+SUM(B28:B36)</f>
        <v>670.46889999999996</v>
      </c>
      <c r="Q27" s="6">
        <f t="shared" si="41"/>
        <v>656.4389000000001</v>
      </c>
      <c r="R27" s="6">
        <f t="shared" si="41"/>
        <v>617.09069999999997</v>
      </c>
      <c r="S27" s="6">
        <f t="shared" si="41"/>
        <v>643.04860000000008</v>
      </c>
      <c r="T27" s="6">
        <f t="shared" si="41"/>
        <v>632.97260000000006</v>
      </c>
      <c r="U27" s="6">
        <f t="shared" si="41"/>
        <v>550.98530000000005</v>
      </c>
      <c r="V27" s="6">
        <f t="shared" si="41"/>
        <v>501.6454</v>
      </c>
      <c r="W27" s="67">
        <f t="shared" si="41"/>
        <v>506.39619999999996</v>
      </c>
      <c r="X27" s="37">
        <f t="shared" ref="X27" si="42">+SUM(K25:K27)+SUM(J28:J36)</f>
        <v>513.21109999999999</v>
      </c>
      <c r="Y27" s="78">
        <f>+X27/W27-1</f>
        <v>1.345764442940145E-2</v>
      </c>
      <c r="Z27" s="7">
        <f>+POWER(X27/S27,0.2)-1</f>
        <v>-4.4104430303452014E-2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:L29" si="43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44">+SUM(C25:C28)+SUM(B29:B36)</f>
        <v>660.01170000000002</v>
      </c>
      <c r="Q28" s="6">
        <f t="shared" si="44"/>
        <v>654.98950000000013</v>
      </c>
      <c r="R28" s="6">
        <f t="shared" si="44"/>
        <v>616.5972999999999</v>
      </c>
      <c r="S28" s="6">
        <f t="shared" si="44"/>
        <v>644.06200000000013</v>
      </c>
      <c r="T28" s="6">
        <f t="shared" si="44"/>
        <v>623.78099999999995</v>
      </c>
      <c r="U28" s="6">
        <f t="shared" si="44"/>
        <v>550.45420000000013</v>
      </c>
      <c r="V28" s="6">
        <f t="shared" si="44"/>
        <v>502.86550000000005</v>
      </c>
      <c r="W28" s="67">
        <f t="shared" si="44"/>
        <v>499.72910000000002</v>
      </c>
      <c r="X28" s="37">
        <f t="shared" ref="X28" si="45">+SUM(K25:K28)+SUM(J29:J36)</f>
        <v>513.69030000000009</v>
      </c>
      <c r="Y28" s="78">
        <f>+X28/W28-1</f>
        <v>2.7937536557306908E-2</v>
      </c>
      <c r="Z28" s="7">
        <f>+POWER(X28/S28,0.2)-1</f>
        <v>-4.4227044149147465E-2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38.952399999999997</v>
      </c>
      <c r="K29" s="67"/>
      <c r="L29" s="7"/>
      <c r="N29" s="42" t="s">
        <v>2</v>
      </c>
      <c r="O29" s="6">
        <f>+SUM('[1]1.CONSUMO ARGENTINA POR TIPO '!C310:C321)/10000</f>
        <v>730.49733600000002</v>
      </c>
      <c r="P29" s="6">
        <f t="shared" ref="P29:W29" si="46">+SUM(C25:C29)+SUM(B30:B36)</f>
        <v>665.58010000000002</v>
      </c>
      <c r="Q29" s="6">
        <f t="shared" si="46"/>
        <v>650.15050000000008</v>
      </c>
      <c r="R29" s="6">
        <f t="shared" si="46"/>
        <v>618.24580000000003</v>
      </c>
      <c r="S29" s="6">
        <f t="shared" si="46"/>
        <v>640.9507000000001</v>
      </c>
      <c r="T29" s="6">
        <f t="shared" si="46"/>
        <v>602.99790000000007</v>
      </c>
      <c r="U29" s="6">
        <f t="shared" si="46"/>
        <v>553.85470000000009</v>
      </c>
      <c r="V29" s="6">
        <f t="shared" si="46"/>
        <v>501.35059999999999</v>
      </c>
      <c r="W29" s="67">
        <f t="shared" si="46"/>
        <v>499.72479999999996</v>
      </c>
      <c r="X29" s="37"/>
      <c r="Y29" s="78"/>
      <c r="Z29" s="7"/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40.918599999999998</v>
      </c>
      <c r="K30" s="67"/>
      <c r="L30" s="7"/>
      <c r="N30" s="42" t="s">
        <v>3</v>
      </c>
      <c r="O30" s="6">
        <f>+SUM('[1]1.CONSUMO ARGENTINA POR TIPO '!C311:C322)/10000</f>
        <v>715.838528</v>
      </c>
      <c r="P30" s="6">
        <f t="shared" ref="P30:W30" si="47">+SUM(C25:C30)+SUM(B31:B36)</f>
        <v>673.95370000000003</v>
      </c>
      <c r="Q30" s="6">
        <f t="shared" si="47"/>
        <v>645.13059999999996</v>
      </c>
      <c r="R30" s="6">
        <f t="shared" si="47"/>
        <v>611.29750000000001</v>
      </c>
      <c r="S30" s="6">
        <f t="shared" si="47"/>
        <v>655.23649999999998</v>
      </c>
      <c r="T30" s="6">
        <f t="shared" si="47"/>
        <v>590.06280000000004</v>
      </c>
      <c r="U30" s="6">
        <f t="shared" si="47"/>
        <v>540.63710000000003</v>
      </c>
      <c r="V30" s="6">
        <f t="shared" si="47"/>
        <v>503.74910000000006</v>
      </c>
      <c r="W30" s="67">
        <f t="shared" si="47"/>
        <v>497.70979999999997</v>
      </c>
      <c r="X30" s="37"/>
      <c r="Y30" s="78"/>
      <c r="Z30" s="7"/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/>
      <c r="L31" s="7"/>
      <c r="N31" s="42" t="s">
        <v>4</v>
      </c>
      <c r="O31" s="6">
        <f>+SUM('[1]1.CONSUMO ARGENTINA POR TIPO '!C312:C323)/10000</f>
        <v>706.97689100000002</v>
      </c>
      <c r="P31" s="6">
        <f t="shared" ref="P31:W31" si="48">+SUM(C25:C31)+SUM(B32:B36)</f>
        <v>674.87870000000009</v>
      </c>
      <c r="Q31" s="6">
        <f t="shared" si="48"/>
        <v>642.94880000000001</v>
      </c>
      <c r="R31" s="6">
        <f t="shared" si="48"/>
        <v>611.65539999999999</v>
      </c>
      <c r="S31" s="6">
        <f t="shared" si="48"/>
        <v>666.48199999999997</v>
      </c>
      <c r="T31" s="6">
        <f t="shared" si="48"/>
        <v>573.553</v>
      </c>
      <c r="U31" s="6">
        <f t="shared" si="48"/>
        <v>538.47810000000004</v>
      </c>
      <c r="V31" s="6">
        <f t="shared" si="48"/>
        <v>500.89710000000002</v>
      </c>
      <c r="W31" s="67">
        <f t="shared" si="48"/>
        <v>501.82780000000002</v>
      </c>
      <c r="X31" s="67"/>
      <c r="Y31" s="78"/>
      <c r="Z31" s="7"/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/>
      <c r="L32" s="7"/>
      <c r="N32" s="42" t="s">
        <v>5</v>
      </c>
      <c r="O32" s="6">
        <f>+SUM('[1]1.CONSUMO ARGENTINA POR TIPO '!C313:C324)/10000</f>
        <v>706.595418</v>
      </c>
      <c r="P32" s="6">
        <f t="shared" ref="P32:W32" si="49">+SUM(C25:C32)+SUM(B33:B36)</f>
        <v>673.67220000000009</v>
      </c>
      <c r="Q32" s="6">
        <f t="shared" si="49"/>
        <v>639.4203</v>
      </c>
      <c r="R32" s="6">
        <f t="shared" si="49"/>
        <v>616.1576</v>
      </c>
      <c r="S32" s="6">
        <f t="shared" si="49"/>
        <v>663.80730000000005</v>
      </c>
      <c r="T32" s="6">
        <f t="shared" si="49"/>
        <v>566.48419999999999</v>
      </c>
      <c r="U32" s="6">
        <f t="shared" si="49"/>
        <v>538.63110000000006</v>
      </c>
      <c r="V32" s="6">
        <f t="shared" si="49"/>
        <v>499.46600000000012</v>
      </c>
      <c r="W32" s="67">
        <f t="shared" si="49"/>
        <v>508.32219999999995</v>
      </c>
      <c r="X32" s="67"/>
      <c r="Y32" s="78"/>
      <c r="Z32" s="7"/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/>
      <c r="L33" s="7"/>
      <c r="N33" s="42" t="s">
        <v>6</v>
      </c>
      <c r="O33" s="6">
        <f>+SUM('[1]1.CONSUMO ARGENTINA POR TIPO '!C314:C325)/10000</f>
        <v>705.11019199999998</v>
      </c>
      <c r="P33" s="6">
        <f t="shared" ref="P33:W33" si="50">+SUM(C25:C33)+SUM(B34:B36)</f>
        <v>673.21560000000011</v>
      </c>
      <c r="Q33" s="6">
        <f t="shared" si="50"/>
        <v>628.21069999999997</v>
      </c>
      <c r="R33" s="6">
        <f t="shared" si="50"/>
        <v>620.55140000000006</v>
      </c>
      <c r="S33" s="6">
        <f t="shared" si="50"/>
        <v>665.96350000000007</v>
      </c>
      <c r="T33" s="6">
        <f t="shared" si="50"/>
        <v>558.65519999999992</v>
      </c>
      <c r="U33" s="6">
        <f t="shared" si="50"/>
        <v>535.3116</v>
      </c>
      <c r="V33" s="6">
        <f t="shared" si="50"/>
        <v>498.05200000000013</v>
      </c>
      <c r="W33" s="67">
        <f t="shared" si="50"/>
        <v>507.60799999999995</v>
      </c>
      <c r="X33" s="37"/>
      <c r="Y33" s="78"/>
      <c r="Z33" s="7"/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51">+SUM(C25:C34)+SUM(B35:B36)</f>
        <v>667.62060000000008</v>
      </c>
      <c r="Q34" s="6">
        <f t="shared" si="51"/>
        <v>623.23059999999998</v>
      </c>
      <c r="R34" s="6">
        <f t="shared" si="51"/>
        <v>629.50409999999999</v>
      </c>
      <c r="S34" s="6">
        <f t="shared" si="51"/>
        <v>665.75990000000002</v>
      </c>
      <c r="T34" s="6">
        <f t="shared" si="51"/>
        <v>548.81380000000001</v>
      </c>
      <c r="U34" s="6">
        <f t="shared" si="51"/>
        <v>537.42679999999996</v>
      </c>
      <c r="V34" s="6">
        <f t="shared" si="51"/>
        <v>500.39730000000009</v>
      </c>
      <c r="W34" s="67">
        <f t="shared" si="51"/>
        <v>504.17029999999994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52">+SUM(C25:C35)+SUM(B36)</f>
        <v>665.06040000000007</v>
      </c>
      <c r="Q35" s="6">
        <f t="shared" si="52"/>
        <v>617.79520000000002</v>
      </c>
      <c r="R35" s="6">
        <f t="shared" si="52"/>
        <v>634.096</v>
      </c>
      <c r="S35" s="6">
        <f t="shared" si="52"/>
        <v>661.1889000000001</v>
      </c>
      <c r="T35" s="6">
        <f t="shared" si="52"/>
        <v>552.48349999999994</v>
      </c>
      <c r="U35" s="6">
        <f t="shared" si="52"/>
        <v>524.74059999999997</v>
      </c>
      <c r="V35" s="6">
        <f t="shared" si="52"/>
        <v>505.21060000000011</v>
      </c>
      <c r="W35" s="67">
        <f t="shared" si="52"/>
        <v>507.62249999999995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53">+SUM(C25:C36)</f>
        <v>658.32210000000009</v>
      </c>
      <c r="Q36" s="6">
        <f t="shared" si="53"/>
        <v>617.50869999999998</v>
      </c>
      <c r="R36" s="6">
        <f t="shared" si="53"/>
        <v>636.71080000000006</v>
      </c>
      <c r="S36" s="6">
        <f t="shared" si="53"/>
        <v>661.76120000000003</v>
      </c>
      <c r="T36" s="6">
        <f t="shared" si="53"/>
        <v>548.4819</v>
      </c>
      <c r="U36" s="6">
        <f t="shared" si="53"/>
        <v>514.87869999999998</v>
      </c>
      <c r="V36" s="6">
        <f t="shared" si="53"/>
        <v>507.64330000000007</v>
      </c>
      <c r="W36" s="67">
        <f t="shared" si="53"/>
        <v>507.91559999999998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54">SUM(G25:G36)</f>
        <v>548.4819</v>
      </c>
      <c r="H37" s="54">
        <f t="shared" si="54"/>
        <v>514.87869999999998</v>
      </c>
      <c r="I37" s="54">
        <f t="shared" ref="I37:J37" si="55">SUM(I25:I36)</f>
        <v>507.64330000000007</v>
      </c>
      <c r="J37" s="186">
        <f t="shared" si="55"/>
        <v>507.91559999999998</v>
      </c>
      <c r="K37" s="186"/>
      <c r="L37" s="165"/>
      <c r="M37" s="3"/>
      <c r="N37" s="43" t="s">
        <v>14</v>
      </c>
      <c r="O37" s="46">
        <f t="shared" ref="O37" si="56">+AVERAGE(O25:O36)</f>
        <v>717.43518516666666</v>
      </c>
      <c r="P37" s="46">
        <f>+AVERAGE(P25:P36)</f>
        <v>669.8196833333335</v>
      </c>
      <c r="Q37" s="46">
        <f t="shared" ref="Q37:U37" si="57">+AVERAGE(Q25:Q36)</f>
        <v>641.03616666666665</v>
      </c>
      <c r="R37" s="46">
        <f t="shared" si="57"/>
        <v>620.53439999999989</v>
      </c>
      <c r="S37" s="46">
        <f t="shared" si="57"/>
        <v>655.16562500000009</v>
      </c>
      <c r="T37" s="46">
        <f t="shared" si="57"/>
        <v>591.13459166666678</v>
      </c>
      <c r="U37" s="226">
        <f t="shared" si="57"/>
        <v>538.94247500000017</v>
      </c>
      <c r="V37" s="226">
        <f t="shared" ref="V37" si="58">+AVERAGE(V25:V36)</f>
        <v>503.93775000000005</v>
      </c>
      <c r="W37" s="220">
        <f t="shared" ref="W37" si="59">+AVERAGE(W25:W36)</f>
        <v>504.39480000000003</v>
      </c>
      <c r="X37" s="197">
        <f t="shared" ref="X37" si="60">+AVERAGE(X25:X36)</f>
        <v>512.86407500000007</v>
      </c>
      <c r="Y37" s="79"/>
      <c r="Z37" s="75"/>
    </row>
    <row r="38" spans="1:26" ht="25.5" x14ac:dyDescent="0.25">
      <c r="A38" s="57" t="s">
        <v>15</v>
      </c>
      <c r="B38" s="195">
        <f t="shared" ref="B38:H38" si="61">+B37/B$73</f>
        <v>0.72991172510030389</v>
      </c>
      <c r="C38" s="58">
        <f t="shared" si="61"/>
        <v>0.73761331894682725</v>
      </c>
      <c r="D38" s="58">
        <f t="shared" si="61"/>
        <v>0.735477793588177</v>
      </c>
      <c r="E38" s="58">
        <f t="shared" si="61"/>
        <v>0.71923649940757484</v>
      </c>
      <c r="F38" s="58">
        <f t="shared" si="61"/>
        <v>0.70178706375141064</v>
      </c>
      <c r="G38" s="58">
        <f t="shared" si="61"/>
        <v>0.65443850425619798</v>
      </c>
      <c r="H38" s="58">
        <f t="shared" si="61"/>
        <v>0.62212736001917812</v>
      </c>
      <c r="I38" s="58">
        <f t="shared" ref="I38:J38" si="62">+I37/I$73</f>
        <v>0.65480376781885641</v>
      </c>
      <c r="J38" s="189">
        <f t="shared" si="62"/>
        <v>0.6660464158408359</v>
      </c>
      <c r="K38" s="189"/>
      <c r="L38" s="59"/>
      <c r="M38" s="3"/>
      <c r="N38" s="44" t="s">
        <v>15</v>
      </c>
      <c r="O38" s="48">
        <f t="shared" ref="O38:U38" si="63">+O37/O$73</f>
        <v>0.72907287415850175</v>
      </c>
      <c r="P38" s="48">
        <f t="shared" si="63"/>
        <v>0.73428998950504865</v>
      </c>
      <c r="Q38" s="48">
        <f t="shared" si="63"/>
        <v>0.73658652696084947</v>
      </c>
      <c r="R38" s="48">
        <f t="shared" si="63"/>
        <v>0.72610546304881929</v>
      </c>
      <c r="S38" s="48">
        <f t="shared" si="63"/>
        <v>0.71319493277732482</v>
      </c>
      <c r="T38" s="48">
        <f t="shared" si="63"/>
        <v>0.66899840129565269</v>
      </c>
      <c r="U38" s="58">
        <f t="shared" si="63"/>
        <v>0.63966776493625188</v>
      </c>
      <c r="V38" s="58">
        <f t="shared" ref="V38" si="64">+V37/V$73</f>
        <v>0.63818015898474278</v>
      </c>
      <c r="W38" s="189">
        <f t="shared" ref="W38" si="65">+W37/W$73</f>
        <v>0.65871407580722319</v>
      </c>
      <c r="X38" s="188">
        <f t="shared" ref="X38" si="66">+X37/X$73</f>
        <v>0.66477811306524925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67">+D37/C37-1</f>
        <v>-6.1996095832116405E-2</v>
      </c>
      <c r="E39" s="62">
        <f t="shared" ref="E39" si="68">+E37/D37-1</f>
        <v>3.109608010381093E-2</v>
      </c>
      <c r="F39" s="62">
        <f t="shared" ref="F39:J39" si="69">+F37/E37-1</f>
        <v>3.9343450747183706E-2</v>
      </c>
      <c r="G39" s="62">
        <f t="shared" si="69"/>
        <v>-0.17117851575462573</v>
      </c>
      <c r="H39" s="62">
        <f t="shared" si="69"/>
        <v>-6.1265832108589158E-2</v>
      </c>
      <c r="I39" s="62">
        <f t="shared" si="69"/>
        <v>-1.4052630260292243E-2</v>
      </c>
      <c r="J39" s="190">
        <f t="shared" si="69"/>
        <v>5.3640026372825389E-4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70">+Q37/P37-1</f>
        <v>-4.2972037673522423E-2</v>
      </c>
      <c r="R39" s="50">
        <f t="shared" ref="R39" si="71">+R37/Q37-1</f>
        <v>-3.1982230851769544E-2</v>
      </c>
      <c r="S39" s="50">
        <f t="shared" ref="S39" si="72">+S37/R37-1</f>
        <v>5.5808711007802714E-2</v>
      </c>
      <c r="T39" s="50">
        <f t="shared" ref="T39" si="73">+T37/S37-1</f>
        <v>-9.7732589882647325E-2</v>
      </c>
      <c r="U39" s="62">
        <f t="shared" ref="U39:X39" si="74">+U37/T37-1</f>
        <v>-8.8291427032740954E-2</v>
      </c>
      <c r="V39" s="62">
        <f t="shared" si="74"/>
        <v>-6.4950763066132677E-2</v>
      </c>
      <c r="W39" s="190">
        <f t="shared" si="74"/>
        <v>9.0695725811373862E-4</v>
      </c>
      <c r="X39" s="187">
        <f t="shared" si="74"/>
        <v>1.6790964141581322E-2</v>
      </c>
      <c r="Y39" s="73"/>
      <c r="Z39" s="52"/>
    </row>
    <row r="40" spans="1:26" ht="13.5" thickBot="1" x14ac:dyDescent="0.3"/>
    <row r="41" spans="1:26" ht="13.5" thickBot="1" x14ac:dyDescent="0.3">
      <c r="A41" s="325" t="s">
        <v>230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N41" s="325" t="s">
        <v>231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76">+P42+1</f>
        <v>2018</v>
      </c>
      <c r="R42" s="64">
        <f t="shared" ref="R42" si="77">+Q42+1</f>
        <v>2019</v>
      </c>
      <c r="S42" s="64">
        <f t="shared" ref="S42" si="78">+R42+1</f>
        <v>2020</v>
      </c>
      <c r="T42" s="64">
        <f t="shared" ref="T42" si="79">+S42+1</f>
        <v>2021</v>
      </c>
      <c r="U42" s="39">
        <f t="shared" ref="U42" si="80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81">+SUM(C43)+SUM(B44:B54)</f>
        <v>44.913885999999998</v>
      </c>
      <c r="Q43" s="6">
        <f t="shared" si="81"/>
        <v>38.8033</v>
      </c>
      <c r="R43" s="6">
        <f t="shared" si="81"/>
        <v>31.7028</v>
      </c>
      <c r="S43" s="6">
        <f t="shared" si="81"/>
        <v>29.509999999999998</v>
      </c>
      <c r="T43" s="6">
        <f t="shared" si="81"/>
        <v>25.473299999999998</v>
      </c>
      <c r="U43" s="6">
        <f t="shared" si="81"/>
        <v>34.297500000000007</v>
      </c>
      <c r="V43" s="6">
        <f t="shared" si="81"/>
        <v>39.892300000000006</v>
      </c>
      <c r="W43" s="67">
        <f t="shared" si="81"/>
        <v>36.826400000000007</v>
      </c>
      <c r="X43" s="37">
        <f t="shared" ref="X43" si="82">+SUM(K43)+SUM(J44:J54)</f>
        <v>27.543700000000005</v>
      </c>
      <c r="Y43" s="78">
        <f>+X43/W43-1</f>
        <v>-0.25206645232767799</v>
      </c>
      <c r="Z43" s="7">
        <f>+POWER(X43/S43,0.2)-1</f>
        <v>-1.3696409768997997E-2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>+K44/J44-1</f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83">+SUM(C43:C44)+SUM(B45:B54)</f>
        <v>44.085701</v>
      </c>
      <c r="Q44" s="6">
        <f t="shared" si="83"/>
        <v>38.923900000000003</v>
      </c>
      <c r="R44" s="6">
        <f t="shared" si="83"/>
        <v>31.379100000000001</v>
      </c>
      <c r="S44" s="6">
        <f t="shared" si="83"/>
        <v>29.389899999999997</v>
      </c>
      <c r="T44" s="6">
        <f t="shared" si="83"/>
        <v>25.846</v>
      </c>
      <c r="U44" s="6">
        <f t="shared" si="83"/>
        <v>34.901400000000002</v>
      </c>
      <c r="V44" s="6">
        <f t="shared" ref="V44" si="84">+SUM(I43:I44)+SUM(H45:H54)</f>
        <v>39.190300000000001</v>
      </c>
      <c r="W44" s="67">
        <f t="shared" ref="W44" si="85">+SUM(J43:J44)+SUM(I45:I54)</f>
        <v>36.415100000000002</v>
      </c>
      <c r="X44" s="37">
        <f t="shared" ref="X44" si="86">+SUM(K43:K44)+SUM(J45:J54)</f>
        <v>27.832900000000002</v>
      </c>
      <c r="Y44" s="78">
        <f>+X44/W44-1</f>
        <v>-0.23567695818492873</v>
      </c>
      <c r="Z44" s="7">
        <f>+POWER(X44/S44,0.2)-1</f>
        <v>-1.082741767755846E-2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>+K45/J45-1</f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87">+SUM(C43:C45)+SUM(B46:B54)</f>
        <v>43.898941000000008</v>
      </c>
      <c r="Q45" s="6">
        <f t="shared" si="87"/>
        <v>38.318300000000001</v>
      </c>
      <c r="R45" s="6">
        <f t="shared" si="87"/>
        <v>30.211000000000002</v>
      </c>
      <c r="S45" s="6">
        <f t="shared" si="87"/>
        <v>29.632999999999999</v>
      </c>
      <c r="T45" s="6">
        <f t="shared" si="87"/>
        <v>26.472500000000004</v>
      </c>
      <c r="U45" s="6">
        <f t="shared" si="87"/>
        <v>35.592100000000002</v>
      </c>
      <c r="V45" s="6">
        <f t="shared" ref="V45" si="88">+SUM(I43:I45)+SUM(H46:H54)</f>
        <v>38.8033</v>
      </c>
      <c r="W45" s="67">
        <f t="shared" ref="W45" si="89">+SUM(J43:J45)+SUM(I46:I54)</f>
        <v>35.7363</v>
      </c>
      <c r="X45" s="37">
        <f t="shared" ref="X45" si="90">+SUM(K43:K45)+SUM(J46:J54)</f>
        <v>27.5136</v>
      </c>
      <c r="Y45" s="78">
        <f>+X45/W45-1</f>
        <v>-0.23009377020004873</v>
      </c>
      <c r="Z45" s="7">
        <f>+POWER(X45/S45,0.2)-1</f>
        <v>-1.4732041247062733E-2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>+K46/J46-1</f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91">+SUM(C43:C46)+SUM(B47:B54)</f>
        <v>43.641752999999994</v>
      </c>
      <c r="Q46" s="6">
        <f t="shared" si="91"/>
        <v>37.970799999999997</v>
      </c>
      <c r="R46" s="6">
        <f t="shared" si="91"/>
        <v>29.183599999999998</v>
      </c>
      <c r="S46" s="6">
        <f t="shared" si="91"/>
        <v>29.524699999999999</v>
      </c>
      <c r="T46" s="6">
        <f t="shared" si="91"/>
        <v>27.7455</v>
      </c>
      <c r="U46" s="6">
        <f t="shared" si="91"/>
        <v>36.037399999999998</v>
      </c>
      <c r="V46" s="6">
        <f t="shared" ref="V46" si="92">+SUM(I43:I46)+SUM(H47:H54)</f>
        <v>38.180000000000007</v>
      </c>
      <c r="W46" s="67">
        <f t="shared" ref="W46" si="93">+SUM(J43:J46)+SUM(I47:I54)</f>
        <v>34.949300000000001</v>
      </c>
      <c r="X46" s="37">
        <f t="shared" ref="X46" si="94">+SUM(K43:K46)+SUM(J47:J54)</f>
        <v>28.249500000000001</v>
      </c>
      <c r="Y46" s="78">
        <f>+X46/W46-1</f>
        <v>-0.19170054908109746</v>
      </c>
      <c r="Z46" s="7">
        <f>+POWER(X46/S46,0.2)-1</f>
        <v>-8.7914160706006328E-3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1.5189999999999999</v>
      </c>
      <c r="K47" s="67"/>
      <c r="L47" s="7"/>
      <c r="N47" s="42" t="s">
        <v>2</v>
      </c>
      <c r="O47" s="6">
        <f>+SUM('[1]1.CONSUMO ARGENTINA POR TIPO '!E310:F321)/10000</f>
        <v>47.439907000000005</v>
      </c>
      <c r="P47" s="6">
        <f t="shared" ref="P47:U47" si="95">+SUM(C43:C47)+SUM(B48:B54)</f>
        <v>43.472369999999998</v>
      </c>
      <c r="Q47" s="6">
        <f t="shared" si="95"/>
        <v>37.405699999999996</v>
      </c>
      <c r="R47" s="6">
        <f t="shared" si="95"/>
        <v>28.703700000000001</v>
      </c>
      <c r="S47" s="6">
        <f t="shared" si="95"/>
        <v>28.497299999999999</v>
      </c>
      <c r="T47" s="6">
        <f t="shared" si="95"/>
        <v>29.444099999999999</v>
      </c>
      <c r="U47" s="6">
        <f t="shared" si="95"/>
        <v>36.529499999999999</v>
      </c>
      <c r="V47" s="6">
        <f t="shared" ref="V47" si="96">+SUM(I43:I47)+SUM(H48:H54)</f>
        <v>38.155500000000004</v>
      </c>
      <c r="W47" s="67">
        <f t="shared" ref="W47" si="97">+SUM(J43:J47)+SUM(I48:I54)</f>
        <v>33.397599999999997</v>
      </c>
      <c r="X47" s="37"/>
      <c r="Y47" s="78"/>
      <c r="Z47" s="7"/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1.3752</v>
      </c>
      <c r="K48" s="67"/>
      <c r="L48" s="7"/>
      <c r="N48" s="42" t="s">
        <v>3</v>
      </c>
      <c r="O48" s="6">
        <f>+SUM('[1]1.CONSUMO ARGENTINA POR TIPO '!E311:F322)/10000</f>
        <v>46.036068999999998</v>
      </c>
      <c r="P48" s="6">
        <f t="shared" ref="P48:U48" si="98">+SUM(C43:C48)+SUM(B49:B54)</f>
        <v>43.851424000000002</v>
      </c>
      <c r="Q48" s="6">
        <f t="shared" si="98"/>
        <v>36.374499999999998</v>
      </c>
      <c r="R48" s="6">
        <f t="shared" si="98"/>
        <v>28.357099999999999</v>
      </c>
      <c r="S48" s="6">
        <f t="shared" si="98"/>
        <v>28.409499999999998</v>
      </c>
      <c r="T48" s="6">
        <f t="shared" si="98"/>
        <v>30.0321</v>
      </c>
      <c r="U48" s="6">
        <f t="shared" si="98"/>
        <v>37.142700000000005</v>
      </c>
      <c r="V48" s="6">
        <f t="shared" ref="V48" si="99">+SUM(I43:I48)+SUM(H49:H54)</f>
        <v>37.997</v>
      </c>
      <c r="W48" s="67">
        <f t="shared" ref="W48" si="100">+SUM(J43:J48)+SUM(I49:I54)</f>
        <v>31.770199999999999</v>
      </c>
      <c r="X48" s="37"/>
      <c r="Y48" s="78"/>
      <c r="Z48" s="7"/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/>
      <c r="L49" s="7"/>
      <c r="N49" s="42" t="s">
        <v>4</v>
      </c>
      <c r="O49" s="6">
        <f>+SUM('[1]1.CONSUMO ARGENTINA POR TIPO '!E312:F323)/10000</f>
        <v>45.724594000000003</v>
      </c>
      <c r="P49" s="6">
        <f t="shared" ref="P49:U49" si="101">+SUM(C43:C49)+SUM(B50:B54)</f>
        <v>43.703434000000001</v>
      </c>
      <c r="Q49" s="6">
        <f t="shared" si="101"/>
        <v>35.464599999999997</v>
      </c>
      <c r="R49" s="6">
        <f t="shared" si="101"/>
        <v>28.445500000000003</v>
      </c>
      <c r="S49" s="6">
        <f t="shared" si="101"/>
        <v>28.019399999999997</v>
      </c>
      <c r="T49" s="6">
        <f t="shared" si="101"/>
        <v>30.916499999999999</v>
      </c>
      <c r="U49" s="6">
        <f t="shared" si="101"/>
        <v>37.391300000000001</v>
      </c>
      <c r="V49" s="6">
        <f t="shared" ref="V49" si="102">+SUM(I43:I49)+SUM(H50:H54)</f>
        <v>37.7044</v>
      </c>
      <c r="W49" s="67">
        <f t="shared" ref="W49" si="103">+SUM(J43:J49)+SUM(I50:I54)</f>
        <v>30.821200000000001</v>
      </c>
      <c r="X49" s="67"/>
      <c r="Y49" s="78"/>
      <c r="Z49" s="7"/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/>
      <c r="L50" s="7"/>
      <c r="N50" s="42" t="s">
        <v>5</v>
      </c>
      <c r="O50" s="6">
        <f>+SUM('[1]1.CONSUMO ARGENTINA POR TIPO '!E313:F324)/10000</f>
        <v>46.05037200000001</v>
      </c>
      <c r="P50" s="6">
        <f t="shared" ref="P50:U50" si="104">+SUM(C43:C50)+SUM(B51:B54)</f>
        <v>42.641021000000002</v>
      </c>
      <c r="Q50" s="6">
        <f t="shared" si="104"/>
        <v>35.508699999999997</v>
      </c>
      <c r="R50" s="6">
        <f t="shared" si="104"/>
        <v>27.767899999999997</v>
      </c>
      <c r="S50" s="6">
        <f t="shared" si="104"/>
        <v>27.8322</v>
      </c>
      <c r="T50" s="6">
        <f t="shared" si="104"/>
        <v>31.1327</v>
      </c>
      <c r="U50" s="6">
        <f t="shared" si="104"/>
        <v>39.330100000000002</v>
      </c>
      <c r="V50" s="6">
        <f t="shared" ref="V50" si="105">+SUM(I43:I50)+SUM(H51:H54)</f>
        <v>37.387199999999993</v>
      </c>
      <c r="W50" s="67">
        <f t="shared" ref="W50" si="106">+SUM(J43:J50)+SUM(I51:I54)</f>
        <v>28.993600000000001</v>
      </c>
      <c r="X50" s="67"/>
      <c r="Y50" s="78"/>
      <c r="Z50" s="7"/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/>
      <c r="L51" s="7"/>
      <c r="N51" s="42" t="s">
        <v>6</v>
      </c>
      <c r="O51" s="6">
        <f>+SUM('[1]1.CONSUMO ARGENTINA POR TIPO '!E314:F325)/10000</f>
        <v>46.603241000000018</v>
      </c>
      <c r="P51" s="6">
        <f t="shared" ref="P51:U51" si="107">+SUM(C43:C51)+SUM(B52:B54)</f>
        <v>41.551878000000002</v>
      </c>
      <c r="Q51" s="6">
        <f t="shared" si="107"/>
        <v>34.104900000000001</v>
      </c>
      <c r="R51" s="6">
        <f t="shared" si="107"/>
        <v>27.871600000000001</v>
      </c>
      <c r="S51" s="6">
        <f t="shared" si="107"/>
        <v>27.474599999999999</v>
      </c>
      <c r="T51" s="6">
        <f t="shared" si="107"/>
        <v>31.5562</v>
      </c>
      <c r="U51" s="6">
        <f t="shared" si="107"/>
        <v>40.903700000000001</v>
      </c>
      <c r="V51" s="6">
        <f t="shared" ref="V51" si="108">+SUM(I43:I51)+SUM(H52:H54)</f>
        <v>36.433199999999999</v>
      </c>
      <c r="W51" s="67">
        <f t="shared" ref="W51" si="109">+SUM(J43:J51)+SUM(I52:I54)</f>
        <v>28.757899999999999</v>
      </c>
      <c r="X51" s="37"/>
      <c r="Y51" s="78"/>
      <c r="Z51" s="7"/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10">+SUM(C43:C52)+SUM(B53:B54)</f>
        <v>41.00609</v>
      </c>
      <c r="Q52" s="6">
        <f t="shared" si="110"/>
        <v>33.428799999999995</v>
      </c>
      <c r="R52" s="6">
        <f t="shared" si="110"/>
        <v>27.8003</v>
      </c>
      <c r="S52" s="6">
        <f t="shared" si="110"/>
        <v>26.669499999999999</v>
      </c>
      <c r="T52" s="6">
        <f t="shared" si="110"/>
        <v>31.7179</v>
      </c>
      <c r="U52" s="6">
        <f t="shared" si="110"/>
        <v>41.944699999999997</v>
      </c>
      <c r="V52" s="6">
        <f t="shared" ref="V52" si="111">+SUM(I43:I52)+SUM(H53:H54)</f>
        <v>37.101399999999998</v>
      </c>
      <c r="W52" s="67">
        <f t="shared" ref="W52" si="112">+SUM(J43:J52)+SUM(I53:I54)</f>
        <v>27.8415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13">+SUM(C43:C53)+SUM(B54)</f>
        <v>40.407289999999996</v>
      </c>
      <c r="Q53" s="6">
        <f t="shared" si="113"/>
        <v>32.308399999999999</v>
      </c>
      <c r="R53" s="6">
        <f t="shared" si="113"/>
        <v>28.764699999999998</v>
      </c>
      <c r="S53" s="6">
        <f t="shared" si="113"/>
        <v>26.004199999999997</v>
      </c>
      <c r="T53" s="6">
        <f t="shared" si="113"/>
        <v>32.801000000000002</v>
      </c>
      <c r="U53" s="6">
        <f t="shared" si="113"/>
        <v>41.066500000000005</v>
      </c>
      <c r="V53" s="6">
        <f t="shared" ref="V53" si="114">+SUM(I43:I53)+SUM(H54)</f>
        <v>37.5732</v>
      </c>
      <c r="W53" s="67">
        <f t="shared" ref="W53" si="115">+SUM(J43:J53)+SUM(I54)</f>
        <v>27.635000000000002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16">+SUM(C43:C54)</f>
        <v>39.202889999999996</v>
      </c>
      <c r="Q54" s="6">
        <f t="shared" si="116"/>
        <v>31.814099999999996</v>
      </c>
      <c r="R54" s="6">
        <f t="shared" si="116"/>
        <v>29.631799999999998</v>
      </c>
      <c r="S54" s="6">
        <f t="shared" si="116"/>
        <v>25.357599999999998</v>
      </c>
      <c r="T54" s="6">
        <f t="shared" si="116"/>
        <v>34.443400000000004</v>
      </c>
      <c r="U54" s="6">
        <f t="shared" si="116"/>
        <v>39.637600000000006</v>
      </c>
      <c r="V54" s="6">
        <f t="shared" ref="V54" si="117">+SUM(I43:I54)</f>
        <v>37.218699999999998</v>
      </c>
      <c r="W54" s="67">
        <f t="shared" ref="W54" si="118">+SUM(J43:J54)</f>
        <v>27.562100000000001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19">SUM(C43:C54)</f>
        <v>39.202889999999996</v>
      </c>
      <c r="D55" s="54">
        <f t="shared" ref="D55" si="120">SUM(D43:D54)</f>
        <v>31.814099999999996</v>
      </c>
      <c r="E55" s="54">
        <f t="shared" ref="E55" si="121">SUM(E43:E54)</f>
        <v>29.631799999999998</v>
      </c>
      <c r="F55" s="54">
        <f t="shared" ref="F55:H55" si="122">SUM(F43:F54)</f>
        <v>25.357599999999998</v>
      </c>
      <c r="G55" s="54">
        <f t="shared" si="122"/>
        <v>34.443400000000004</v>
      </c>
      <c r="H55" s="54">
        <f t="shared" si="122"/>
        <v>39.637600000000006</v>
      </c>
      <c r="I55" s="54">
        <f t="shared" ref="I55:J55" si="123">SUM(I43:I54)</f>
        <v>37.218699999999998</v>
      </c>
      <c r="J55" s="186">
        <f t="shared" si="123"/>
        <v>27.562100000000001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24">+AVERAGE(Q43:Q54)</f>
        <v>35.868833333333335</v>
      </c>
      <c r="R55" s="46">
        <f t="shared" si="124"/>
        <v>29.151591666666665</v>
      </c>
      <c r="S55" s="46">
        <f t="shared" si="124"/>
        <v>28.026824999999999</v>
      </c>
      <c r="T55" s="46">
        <f t="shared" si="124"/>
        <v>29.798433333333325</v>
      </c>
      <c r="U55" s="226">
        <f t="shared" si="124"/>
        <v>37.897875000000006</v>
      </c>
      <c r="V55" s="226">
        <f t="shared" ref="V55" si="125">+AVERAGE(V43:V54)</f>
        <v>37.969708333333337</v>
      </c>
      <c r="W55" s="220">
        <f t="shared" ref="W55:X55" si="126">+AVERAGE(W43:W54)</f>
        <v>31.725516666666664</v>
      </c>
      <c r="X55" s="197">
        <f t="shared" si="126"/>
        <v>27.784925000000001</v>
      </c>
      <c r="Y55" s="79"/>
      <c r="Z55" s="75"/>
    </row>
    <row r="56" spans="1:26" ht="25.5" x14ac:dyDescent="0.25">
      <c r="A56" s="57" t="s">
        <v>15</v>
      </c>
      <c r="B56" s="195">
        <f t="shared" ref="B56:H56" si="127">+B55/B$73</f>
        <v>4.7993202270936397E-2</v>
      </c>
      <c r="C56" s="58">
        <f t="shared" si="127"/>
        <v>4.3924659076776215E-2</v>
      </c>
      <c r="D56" s="58">
        <f t="shared" si="127"/>
        <v>3.7891877592969331E-2</v>
      </c>
      <c r="E56" s="58">
        <f t="shared" si="127"/>
        <v>3.3472452647489839E-2</v>
      </c>
      <c r="F56" s="58">
        <f t="shared" si="127"/>
        <v>2.689132522091469E-2</v>
      </c>
      <c r="G56" s="58">
        <f t="shared" si="127"/>
        <v>4.109723069712589E-2</v>
      </c>
      <c r="H56" s="58">
        <f t="shared" si="127"/>
        <v>4.789406795327944E-2</v>
      </c>
      <c r="I56" s="58">
        <f t="shared" ref="I56:J56" si="128">+I55/I$73</f>
        <v>4.8008010729816912E-2</v>
      </c>
      <c r="J56" s="189">
        <f t="shared" si="128"/>
        <v>3.6143087390989176E-2</v>
      </c>
      <c r="K56" s="189"/>
      <c r="L56" s="59"/>
      <c r="M56" s="3"/>
      <c r="N56" s="44" t="s">
        <v>15</v>
      </c>
      <c r="O56" s="48">
        <f t="shared" ref="O56:U56" si="129">+O55/O$73</f>
        <v>4.7347261191885051E-2</v>
      </c>
      <c r="P56" s="48">
        <f t="shared" si="129"/>
        <v>4.6807754742657193E-2</v>
      </c>
      <c r="Q56" s="48">
        <f t="shared" si="129"/>
        <v>4.1215302263711409E-2</v>
      </c>
      <c r="R56" s="48">
        <f t="shared" si="129"/>
        <v>3.4111130608931763E-2</v>
      </c>
      <c r="S56" s="48">
        <f t="shared" si="129"/>
        <v>3.0509216004482597E-2</v>
      </c>
      <c r="T56" s="48">
        <f t="shared" si="129"/>
        <v>3.3723460853321591E-2</v>
      </c>
      <c r="U56" s="58">
        <f t="shared" si="129"/>
        <v>4.4980772757024674E-2</v>
      </c>
      <c r="V56" s="58">
        <f t="shared" ref="V56" si="130">+V55/V$73</f>
        <v>4.8084340775762437E-2</v>
      </c>
      <c r="W56" s="189">
        <f t="shared" ref="W56:X56" si="131">+W55/W$73</f>
        <v>4.1431918787802703E-2</v>
      </c>
      <c r="X56" s="188">
        <f t="shared" si="131"/>
        <v>3.6015020184752597E-2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32">+D55/C55-1</f>
        <v>-0.18847564554551977</v>
      </c>
      <c r="E57" s="62">
        <f t="shared" ref="E57" si="133">+E55/D55-1</f>
        <v>-6.8595371234766889E-2</v>
      </c>
      <c r="F57" s="62">
        <f t="shared" ref="F57:J57" si="134">+F55/E55-1</f>
        <v>-0.144243684150136</v>
      </c>
      <c r="G57" s="62">
        <f t="shared" si="134"/>
        <v>0.35830677982143455</v>
      </c>
      <c r="H57" s="62">
        <f t="shared" si="134"/>
        <v>0.15080392760296601</v>
      </c>
      <c r="I57" s="62">
        <f t="shared" si="134"/>
        <v>-6.1025390033705551E-2</v>
      </c>
      <c r="J57" s="190">
        <f t="shared" si="134"/>
        <v>-0.25945559624597303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35">+Q55/P55-1</f>
        <v>-0.15994224858142359</v>
      </c>
      <c r="R57" s="50">
        <f t="shared" ref="R57" si="136">+R55/Q55-1</f>
        <v>-0.18727237666869578</v>
      </c>
      <c r="S57" s="50">
        <f t="shared" ref="S57" si="137">+S55/R55-1</f>
        <v>-3.8583370662150784E-2</v>
      </c>
      <c r="T57" s="50">
        <f t="shared" ref="T57" si="138">+T55/S55-1</f>
        <v>6.3211167634340537E-2</v>
      </c>
      <c r="U57" s="62">
        <f t="shared" ref="U57:X57" si="139">+U55/T55-1</f>
        <v>0.27180763418211074</v>
      </c>
      <c r="V57" s="62">
        <f t="shared" si="139"/>
        <v>1.8954448853221173E-3</v>
      </c>
      <c r="W57" s="190">
        <f t="shared" si="139"/>
        <v>-0.16445192604192171</v>
      </c>
      <c r="X57" s="187">
        <f t="shared" si="139"/>
        <v>-0.12420890439924526</v>
      </c>
      <c r="Y57" s="73"/>
      <c r="Z57" s="52"/>
    </row>
    <row r="58" spans="1:26" ht="13.5" thickBot="1" x14ac:dyDescent="0.3"/>
    <row r="59" spans="1:26" ht="13.5" thickBot="1" x14ac:dyDescent="0.3">
      <c r="A59" s="328" t="s">
        <v>232</v>
      </c>
      <c r="B59" s="329"/>
      <c r="C59" s="329"/>
      <c r="D59" s="329"/>
      <c r="E59" s="329"/>
      <c r="F59" s="329"/>
      <c r="G59" s="329"/>
      <c r="H59" s="329"/>
      <c r="I59" s="329"/>
      <c r="J59" s="329"/>
      <c r="K59" s="329"/>
      <c r="L59" s="330"/>
      <c r="N59" s="328" t="s">
        <v>233</v>
      </c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30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40">+C60+1</f>
        <v>2018</v>
      </c>
      <c r="E60" s="39">
        <f t="shared" si="140"/>
        <v>2019</v>
      </c>
      <c r="F60" s="39">
        <f t="shared" si="140"/>
        <v>2020</v>
      </c>
      <c r="G60" s="39">
        <f t="shared" si="140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41">+P60+1</f>
        <v>2018</v>
      </c>
      <c r="R60" s="64">
        <f t="shared" ref="R60" si="142">+Q60+1</f>
        <v>2019</v>
      </c>
      <c r="S60" s="64">
        <f t="shared" ref="S60" si="143">+R60+1</f>
        <v>2020</v>
      </c>
      <c r="T60" s="64">
        <f t="shared" ref="T60" si="144">+S60+1</f>
        <v>2021</v>
      </c>
      <c r="U60" s="39">
        <f t="shared" ref="U60" si="145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46">+SUM(C61)+SUM(B62:B72)</f>
        <v>932.87149999999997</v>
      </c>
      <c r="Q61" s="80">
        <f t="shared" si="146"/>
        <v>893.31579999999997</v>
      </c>
      <c r="R61" s="80">
        <f t="shared" si="146"/>
        <v>840.39490000000001</v>
      </c>
      <c r="S61" s="80">
        <f t="shared" si="146"/>
        <v>893.8569</v>
      </c>
      <c r="T61" s="80">
        <f t="shared" si="146"/>
        <v>938.60810000000004</v>
      </c>
      <c r="U61" s="80">
        <f t="shared" si="146"/>
        <v>830.15379999999993</v>
      </c>
      <c r="V61" s="80">
        <f t="shared" si="146"/>
        <v>825.4905</v>
      </c>
      <c r="W61" s="81">
        <f t="shared" si="146"/>
        <v>770.2476999999999</v>
      </c>
      <c r="X61" s="231">
        <f t="shared" ref="X61" si="147">+SUM(K61)+SUM(J62:J72)</f>
        <v>767.58888899999988</v>
      </c>
      <c r="Y61" s="78">
        <f>+X61/W61-1</f>
        <v>-3.4518908657565905E-3</v>
      </c>
      <c r="Z61" s="7">
        <f>+POWER(X61/S61,0.2)-1</f>
        <v>-2.9999101543284334E-2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>+K62/J62-1</f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48">+SUM(C61:C62)+SUM(B63:B72)</f>
        <v>923.47460000000012</v>
      </c>
      <c r="Q62" s="80">
        <f t="shared" si="148"/>
        <v>892.93700000000001</v>
      </c>
      <c r="R62" s="80">
        <f t="shared" si="148"/>
        <v>842.95449999999994</v>
      </c>
      <c r="S62" s="80">
        <f t="shared" si="148"/>
        <v>898.68409999999994</v>
      </c>
      <c r="T62" s="80">
        <f t="shared" si="148"/>
        <v>932.46149999999989</v>
      </c>
      <c r="U62" s="80">
        <f t="shared" si="148"/>
        <v>829.73939999999993</v>
      </c>
      <c r="V62" s="80">
        <f t="shared" ref="V62" si="149">+SUM(I61:I62)+SUM(H63:H72)</f>
        <v>817.79320000000007</v>
      </c>
      <c r="W62" s="81">
        <f t="shared" ref="W62" si="150">+SUM(J61:J62)+SUM(I63:I72)</f>
        <v>771.02509999999984</v>
      </c>
      <c r="X62" s="231">
        <f t="shared" ref="X62" si="151">+SUM(K61:K62)+SUM(J63:J72)</f>
        <v>770.64888899999994</v>
      </c>
      <c r="Y62" s="78">
        <f>+X62/W62-1</f>
        <v>-4.8793612555531052E-4</v>
      </c>
      <c r="Z62" s="7">
        <f>+POWER(X62/S62,0.2)-1</f>
        <v>-3.0272080184960637E-2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>+K63/J63-1</f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52">+SUM(C61:C63)+SUM(B64:B72)</f>
        <v>918.15149999999994</v>
      </c>
      <c r="Q63" s="80">
        <f t="shared" si="152"/>
        <v>891.11159999999995</v>
      </c>
      <c r="R63" s="80">
        <f t="shared" si="152"/>
        <v>841.53099999999995</v>
      </c>
      <c r="S63" s="80">
        <f t="shared" si="152"/>
        <v>895.24649999999997</v>
      </c>
      <c r="T63" s="80">
        <f t="shared" si="152"/>
        <v>925.15620000000001</v>
      </c>
      <c r="U63" s="80">
        <f t="shared" si="152"/>
        <v>845.11109999999996</v>
      </c>
      <c r="V63" s="80">
        <f t="shared" si="152"/>
        <v>803.11280000000011</v>
      </c>
      <c r="W63" s="81">
        <f t="shared" ref="W63" si="153">+SUM(J61:J63)+SUM(I64:I72)</f>
        <v>768.28829999999994</v>
      </c>
      <c r="X63" s="231">
        <f t="shared" ref="X63" si="154">+SUM(K61:K63)+SUM(J64:J72)</f>
        <v>771.69958900000006</v>
      </c>
      <c r="Y63" s="78">
        <f>+X63/W63-1</f>
        <v>4.4401157742479658E-3</v>
      </c>
      <c r="Z63" s="7">
        <f>+POWER(X63/S63,0.2)-1</f>
        <v>-2.9264018814744164E-2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>+K64/J64-1</f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155">+SUM(C61:C64)+SUM(B65:B72)</f>
        <v>904.81209999999987</v>
      </c>
      <c r="Q64" s="80">
        <f t="shared" si="155"/>
        <v>889.66149999999993</v>
      </c>
      <c r="R64" s="80">
        <f t="shared" si="155"/>
        <v>841.82469999999989</v>
      </c>
      <c r="S64" s="80">
        <f t="shared" si="155"/>
        <v>896.96340000000009</v>
      </c>
      <c r="T64" s="80">
        <f t="shared" si="155"/>
        <v>920.71730000000002</v>
      </c>
      <c r="U64" s="80">
        <f t="shared" si="155"/>
        <v>846.21069999999997</v>
      </c>
      <c r="V64" s="80">
        <f t="shared" si="155"/>
        <v>799.32870000000014</v>
      </c>
      <c r="W64" s="81">
        <f t="shared" si="155"/>
        <v>761.73969999999986</v>
      </c>
      <c r="X64" s="231">
        <f t="shared" ref="X64" si="156">+SUM(K61:K64)+SUM(J65:J72)</f>
        <v>775.98898900000006</v>
      </c>
      <c r="Y64" s="78">
        <f>+X64/W64-1</f>
        <v>1.8706244403436267E-2</v>
      </c>
      <c r="Z64" s="7">
        <f>+POWER(X64/S64,0.2)-1</f>
        <v>-2.8559585528883158E-2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66.909099999999995</v>
      </c>
      <c r="K65" s="67"/>
      <c r="L65" s="7"/>
      <c r="N65" s="42" t="s">
        <v>2</v>
      </c>
      <c r="O65" s="80">
        <f>+SUM('[1]1.CONSUMO ARGENTINA POR TIPO '!H310:H321)/10000</f>
        <v>1001.8343880000001</v>
      </c>
      <c r="P65" s="80">
        <f t="shared" ref="P65:V65" si="157">+SUM(C61:C65)+SUM(B66:B72)</f>
        <v>909.51599999999985</v>
      </c>
      <c r="Q65" s="80">
        <f t="shared" si="157"/>
        <v>883.15359999999998</v>
      </c>
      <c r="R65" s="80">
        <f t="shared" si="157"/>
        <v>848.56669999999997</v>
      </c>
      <c r="S65" s="80">
        <f t="shared" si="157"/>
        <v>894.92180000000008</v>
      </c>
      <c r="T65" s="80">
        <f t="shared" si="157"/>
        <v>900.47329999999999</v>
      </c>
      <c r="U65" s="80">
        <f t="shared" si="157"/>
        <v>851.22109999999998</v>
      </c>
      <c r="V65" s="80">
        <f t="shared" si="157"/>
        <v>796.83029999999997</v>
      </c>
      <c r="W65" s="81">
        <f t="shared" ref="W65" si="158">+SUM(J61:J65)+SUM(I66:I72)</f>
        <v>765.76340000000005</v>
      </c>
      <c r="X65" s="231"/>
      <c r="Y65" s="78"/>
      <c r="Z65" s="7"/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58.450600000000001</v>
      </c>
      <c r="K66" s="67"/>
      <c r="L66" s="7"/>
      <c r="N66" s="42" t="s">
        <v>3</v>
      </c>
      <c r="O66" s="80">
        <f>+SUM('[1]1.CONSUMO ARGENTINA POR TIPO '!H311:H322)/10000</f>
        <v>980.76753200000007</v>
      </c>
      <c r="P66" s="80">
        <f t="shared" ref="P66:V66" si="159">+SUM(C61:C66)+SUM(B67:B72)</f>
        <v>919.3119999999999</v>
      </c>
      <c r="Q66" s="80">
        <f t="shared" si="159"/>
        <v>876.09320000000002</v>
      </c>
      <c r="R66" s="80">
        <f t="shared" si="159"/>
        <v>843.61899999999991</v>
      </c>
      <c r="S66" s="80">
        <f t="shared" si="159"/>
        <v>913.60750000000007</v>
      </c>
      <c r="T66" s="80">
        <f t="shared" si="159"/>
        <v>890.14640000000009</v>
      </c>
      <c r="U66" s="80">
        <f t="shared" si="159"/>
        <v>840.57370000000003</v>
      </c>
      <c r="V66" s="80">
        <f t="shared" si="159"/>
        <v>790.28679999999997</v>
      </c>
      <c r="W66" s="81">
        <f t="shared" ref="W66" si="160">+SUM(J61:J66)+SUM(I67:I72)</f>
        <v>760.14370000000008</v>
      </c>
      <c r="X66" s="231"/>
      <c r="Y66" s="78"/>
      <c r="Z66" s="7"/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/>
      <c r="L67" s="7"/>
      <c r="N67" s="42" t="s">
        <v>4</v>
      </c>
      <c r="O67" s="80">
        <f>+SUM('[1]1.CONSUMO ARGENTINA POR TIPO '!H312:H323)/10000</f>
        <v>967.51244499999996</v>
      </c>
      <c r="P67" s="80">
        <f t="shared" ref="P67:V67" si="161">+SUM(C61:C67)+SUM(B68:B72)</f>
        <v>921.2346</v>
      </c>
      <c r="Q67" s="80">
        <f t="shared" si="161"/>
        <v>871.11079999999993</v>
      </c>
      <c r="R67" s="80">
        <f t="shared" si="161"/>
        <v>847.25559999999996</v>
      </c>
      <c r="S67" s="80">
        <f t="shared" si="161"/>
        <v>931.34730000000002</v>
      </c>
      <c r="T67" s="80">
        <f t="shared" si="161"/>
        <v>870.0077</v>
      </c>
      <c r="U67" s="80">
        <f t="shared" si="161"/>
        <v>841.24529999999993</v>
      </c>
      <c r="V67" s="80">
        <f t="shared" si="161"/>
        <v>781.96199999999999</v>
      </c>
      <c r="W67" s="81">
        <f t="shared" ref="W67" si="162">+SUM(J61:J67)+SUM(I68:I72)</f>
        <v>765.11149999999998</v>
      </c>
      <c r="X67" s="231"/>
      <c r="Y67" s="78"/>
      <c r="Z67" s="7"/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/>
      <c r="L68" s="7"/>
      <c r="N68" s="42" t="s">
        <v>5</v>
      </c>
      <c r="O68" s="80">
        <f>+SUM('[1]1.CONSUMO ARGENTINA POR TIPO '!H313:H324)/10000</f>
        <v>972.14110099999994</v>
      </c>
      <c r="P68" s="80">
        <f t="shared" ref="P68:V68" si="163">+SUM(C61:C68)+SUM(B69:B72)</f>
        <v>914.32950000000005</v>
      </c>
      <c r="Q68" s="80">
        <f t="shared" si="163"/>
        <v>866.58549999999991</v>
      </c>
      <c r="R68" s="80">
        <f t="shared" si="163"/>
        <v>852.86860000000001</v>
      </c>
      <c r="S68" s="80">
        <f t="shared" si="163"/>
        <v>932.54430000000002</v>
      </c>
      <c r="T68" s="80">
        <f t="shared" si="163"/>
        <v>863.71550000000002</v>
      </c>
      <c r="U68" s="80">
        <f t="shared" si="163"/>
        <v>846.02089999999998</v>
      </c>
      <c r="V68" s="80">
        <f t="shared" si="163"/>
        <v>775.07169999999996</v>
      </c>
      <c r="W68" s="81">
        <f t="shared" ref="W68" si="164">+SUM(J61:J68)+SUM(I69:I72)</f>
        <v>769.40149999999994</v>
      </c>
      <c r="X68" s="231"/>
      <c r="Y68" s="78"/>
      <c r="Z68" s="7"/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/>
      <c r="L69" s="7"/>
      <c r="N69" s="42" t="s">
        <v>6</v>
      </c>
      <c r="O69" s="80">
        <f>+SUM('[1]1.CONSUMO ARGENTINA POR TIPO '!H314:H325)/10000</f>
        <v>972.76155700000004</v>
      </c>
      <c r="P69" s="80">
        <f t="shared" ref="P69:V69" si="165">+SUM(C61:C69)+SUM(B70:B72)</f>
        <v>907.47389999999996</v>
      </c>
      <c r="Q69" s="80">
        <f t="shared" si="165"/>
        <v>855.03329999999994</v>
      </c>
      <c r="R69" s="80">
        <f t="shared" si="165"/>
        <v>859.33539999999994</v>
      </c>
      <c r="S69" s="80">
        <f t="shared" si="165"/>
        <v>940.55520000000001</v>
      </c>
      <c r="T69" s="80">
        <f t="shared" si="165"/>
        <v>850.10829999999999</v>
      </c>
      <c r="U69" s="80">
        <f t="shared" si="165"/>
        <v>850.27520000000004</v>
      </c>
      <c r="V69" s="80">
        <f t="shared" si="165"/>
        <v>768.65459999999996</v>
      </c>
      <c r="W69" s="81">
        <f t="shared" ref="W69" si="166">+SUM(J61:J69)+SUM(I70:I72)</f>
        <v>768.85059999999999</v>
      </c>
      <c r="X69" s="231"/>
      <c r="Y69" s="78"/>
      <c r="Z69" s="7"/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167">+SUM(C61:C70)+SUM(B71:B72)</f>
        <v>902.39879999999994</v>
      </c>
      <c r="Q70" s="80">
        <f t="shared" si="167"/>
        <v>847.17489999999998</v>
      </c>
      <c r="R70" s="80">
        <f t="shared" si="167"/>
        <v>871.19799999999987</v>
      </c>
      <c r="S70" s="80">
        <f t="shared" si="167"/>
        <v>942.16830000000004</v>
      </c>
      <c r="T70" s="80">
        <f t="shared" si="167"/>
        <v>835.22040000000004</v>
      </c>
      <c r="U70" s="80">
        <f t="shared" si="167"/>
        <v>857.32049999999992</v>
      </c>
      <c r="V70" s="80">
        <f t="shared" si="167"/>
        <v>769.60519999999997</v>
      </c>
      <c r="W70" s="81">
        <f t="shared" ref="W70" si="168">+SUM(J61:J70)+SUM(I71:I72)</f>
        <v>761.74768900000004</v>
      </c>
      <c r="X70" s="231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169">+SUM(C61:C71)+SUM(B72)</f>
        <v>900.3282999999999</v>
      </c>
      <c r="Q71" s="80">
        <f t="shared" si="169"/>
        <v>837.57490000000007</v>
      </c>
      <c r="R71" s="80">
        <f t="shared" si="169"/>
        <v>880.46949999999993</v>
      </c>
      <c r="S71" s="80">
        <f t="shared" si="169"/>
        <v>940.7555000000001</v>
      </c>
      <c r="T71" s="80">
        <f t="shared" si="169"/>
        <v>838.62630000000001</v>
      </c>
      <c r="U71" s="80">
        <f t="shared" si="169"/>
        <v>844.93839999999989</v>
      </c>
      <c r="V71" s="80">
        <f t="shared" si="169"/>
        <v>772.38119999999992</v>
      </c>
      <c r="W71" s="81">
        <f t="shared" ref="W71" si="170">+SUM(J61:J71)+SUM(I72)</f>
        <v>763.81548899999996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171">+SUM(C61:C72)</f>
        <v>892.50299999999993</v>
      </c>
      <c r="Q72" s="80">
        <f t="shared" si="171"/>
        <v>839.60210000000006</v>
      </c>
      <c r="R72" s="80">
        <f t="shared" si="171"/>
        <v>885.25929999999994</v>
      </c>
      <c r="S72" s="80">
        <f t="shared" si="171"/>
        <v>942.96580000000006</v>
      </c>
      <c r="T72" s="80">
        <f t="shared" si="171"/>
        <v>838.09540000000004</v>
      </c>
      <c r="U72" s="80">
        <f t="shared" si="171"/>
        <v>827.60979999999995</v>
      </c>
      <c r="V72" s="80">
        <f t="shared" si="171"/>
        <v>775.26019999999983</v>
      </c>
      <c r="W72" s="81">
        <f t="shared" ref="W72" si="172">+SUM(J61:J72)</f>
        <v>762.58288900000002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173">SUM(C61:C72)</f>
        <v>892.50299999999993</v>
      </c>
      <c r="D73" s="54">
        <f t="shared" ref="D73" si="174">SUM(D61:D72)</f>
        <v>839.60210000000006</v>
      </c>
      <c r="E73" s="54">
        <f t="shared" ref="E73" si="175">SUM(E61:E72)</f>
        <v>885.25929999999994</v>
      </c>
      <c r="F73" s="54">
        <f t="shared" ref="F73:H73" si="176">SUM(F61:F72)</f>
        <v>942.96580000000006</v>
      </c>
      <c r="G73" s="54">
        <f t="shared" si="176"/>
        <v>838.09540000000004</v>
      </c>
      <c r="H73" s="54">
        <f t="shared" si="176"/>
        <v>827.60979999999995</v>
      </c>
      <c r="I73" s="54">
        <f t="shared" ref="I73:J73" si="177">SUM(I61:I72)</f>
        <v>775.26019999999983</v>
      </c>
      <c r="J73" s="186">
        <f t="shared" si="177"/>
        <v>762.58288900000002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178">+AVERAGE(Q61:Q72)</f>
        <v>870.27951666666661</v>
      </c>
      <c r="R73" s="157">
        <f t="shared" si="178"/>
        <v>854.60643333333326</v>
      </c>
      <c r="S73" s="157">
        <f t="shared" si="178"/>
        <v>918.63471666666658</v>
      </c>
      <c r="T73" s="157">
        <f t="shared" si="178"/>
        <v>883.61136666666664</v>
      </c>
      <c r="U73" s="226">
        <f t="shared" si="178"/>
        <v>842.53499166666654</v>
      </c>
      <c r="V73" s="226">
        <f t="shared" ref="V73" si="179">+AVERAGE(V61:V72)</f>
        <v>789.6481</v>
      </c>
      <c r="W73" s="220">
        <f t="shared" ref="W73:X73" si="180">+AVERAGE(W61:W72)</f>
        <v>765.72646391666649</v>
      </c>
      <c r="X73" s="197">
        <f t="shared" si="180"/>
        <v>771.48158899999987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181">+D73/C73-1</f>
        <v>-5.9272517851480466E-2</v>
      </c>
      <c r="E74" s="62">
        <f t="shared" ref="E74" si="182">+E73/D73-1</f>
        <v>5.4379568607558104E-2</v>
      </c>
      <c r="F74" s="62">
        <f t="shared" ref="F74" si="183">+F73/E73-1</f>
        <v>6.5185985620258569E-2</v>
      </c>
      <c r="G74" s="62">
        <f t="shared" ref="G74" si="184">+G73/F73-1</f>
        <v>-0.1112133653203542</v>
      </c>
      <c r="H74" s="62">
        <f t="shared" ref="H74:I74" si="185">+H73/G73-1</f>
        <v>-1.2511224855786263E-2</v>
      </c>
      <c r="I74" s="62">
        <f t="shared" si="185"/>
        <v>-6.3253963401593505E-2</v>
      </c>
      <c r="J74" s="190">
        <f t="shared" ref="J74" si="186">+J73/I73-1</f>
        <v>-1.6352330482075295E-2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187">+Q73/P73-1</f>
        <v>-4.5955869825326512E-2</v>
      </c>
      <c r="R74" s="50">
        <f t="shared" ref="R74" si="188">+R73/Q73-1</f>
        <v>-1.800925223813632E-2</v>
      </c>
      <c r="S74" s="50">
        <f t="shared" ref="S74" si="189">+S73/R73-1</f>
        <v>7.4921368288318968E-2</v>
      </c>
      <c r="T74" s="50">
        <f t="shared" ref="T74" si="190">+T73/S73-1</f>
        <v>-3.8125436982269445E-2</v>
      </c>
      <c r="U74" s="62">
        <f t="shared" ref="U74:X74" si="191">+U73/T73-1</f>
        <v>-4.6486924624970061E-2</v>
      </c>
      <c r="V74" s="62">
        <f t="shared" si="191"/>
        <v>-6.2771151572052819E-2</v>
      </c>
      <c r="W74" s="190">
        <f t="shared" si="191"/>
        <v>-3.029404627622545E-2</v>
      </c>
      <c r="X74" s="187">
        <f t="shared" si="191"/>
        <v>7.5159020283772637E-3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22" t="str">
        <f>+A5</f>
        <v>DESPACHO DOMESTICO DE VINO VARIETAL - Millones de litros</v>
      </c>
      <c r="B78" s="323"/>
      <c r="C78" s="323"/>
      <c r="D78" s="323"/>
      <c r="E78" s="323"/>
      <c r="F78" s="323"/>
      <c r="G78" s="323"/>
      <c r="H78" s="323"/>
      <c r="I78" s="323"/>
      <c r="J78" s="323"/>
      <c r="K78" s="324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192">+C79+1</f>
        <v>2018</v>
      </c>
      <c r="E79" s="260">
        <f t="shared" ref="E79" si="193">+D79+1</f>
        <v>2019</v>
      </c>
      <c r="F79" s="260">
        <f t="shared" ref="F79" si="194">+E79+1</f>
        <v>2020</v>
      </c>
      <c r="G79" s="260">
        <f t="shared" ref="G79" si="195">+F79+1</f>
        <v>2021</v>
      </c>
      <c r="H79" s="260">
        <f t="shared" ref="H79" si="196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197">+SUM(C7:C9)</f>
        <v>33.120113000000003</v>
      </c>
      <c r="D80" s="6">
        <f t="shared" si="197"/>
        <v>34.408799999999999</v>
      </c>
      <c r="E80" s="6">
        <f t="shared" si="197"/>
        <v>38.666000000000004</v>
      </c>
      <c r="F80" s="6">
        <f t="shared" si="197"/>
        <v>41.591700000000003</v>
      </c>
      <c r="G80" s="6">
        <f t="shared" si="197"/>
        <v>51.737699999999997</v>
      </c>
      <c r="H80" s="6">
        <f t="shared" si="197"/>
        <v>55.086300000000001</v>
      </c>
      <c r="I80" s="6">
        <f t="shared" si="197"/>
        <v>45.106499999999997</v>
      </c>
      <c r="J80" s="67">
        <f t="shared" si="197"/>
        <v>40.741399999999999</v>
      </c>
      <c r="K80" s="265">
        <f t="shared" si="197"/>
        <v>44.676699999999997</v>
      </c>
    </row>
    <row r="81" spans="1:11" x14ac:dyDescent="0.25">
      <c r="A81" s="264" t="s">
        <v>300</v>
      </c>
      <c r="B81" s="193"/>
      <c r="C81" s="6"/>
      <c r="D81" s="6"/>
      <c r="E81" s="6"/>
      <c r="F81" s="6"/>
      <c r="G81" s="6"/>
      <c r="H81" s="6"/>
      <c r="I81" s="6"/>
      <c r="J81" s="67"/>
      <c r="K81" s="265"/>
    </row>
    <row r="82" spans="1:11" x14ac:dyDescent="0.25">
      <c r="A82" s="264" t="s">
        <v>301</v>
      </c>
      <c r="B82" s="193"/>
      <c r="C82" s="6"/>
      <c r="D82" s="6"/>
      <c r="E82" s="6"/>
      <c r="F82" s="6"/>
      <c r="G82" s="6"/>
      <c r="H82" s="6"/>
      <c r="I82" s="6"/>
      <c r="J82" s="67"/>
      <c r="K82" s="265"/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98">SUM(B80:B83)</f>
        <v>38.365285999999998</v>
      </c>
      <c r="C84" s="54">
        <f t="shared" si="198"/>
        <v>33.120113000000003</v>
      </c>
      <c r="D84" s="54">
        <f t="shared" si="198"/>
        <v>34.408799999999999</v>
      </c>
      <c r="E84" s="54">
        <f t="shared" si="198"/>
        <v>38.666000000000004</v>
      </c>
      <c r="F84" s="54">
        <f t="shared" si="198"/>
        <v>41.591700000000003</v>
      </c>
      <c r="G84" s="54">
        <f t="shared" si="198"/>
        <v>51.737699999999997</v>
      </c>
      <c r="H84" s="54">
        <f t="shared" si="198"/>
        <v>55.086300000000001</v>
      </c>
      <c r="I84" s="54">
        <f t="shared" si="198"/>
        <v>45.106499999999997</v>
      </c>
      <c r="J84" s="186">
        <f t="shared" si="198"/>
        <v>40.741399999999999</v>
      </c>
      <c r="K84" s="267">
        <f t="shared" si="198"/>
        <v>44.676699999999997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199">+D80/C80-1</f>
        <v>3.8909498889692751E-2</v>
      </c>
      <c r="E85" s="257">
        <f t="shared" si="199"/>
        <v>0.12372416358605953</v>
      </c>
      <c r="F85" s="257">
        <f t="shared" si="199"/>
        <v>7.5665959757926782E-2</v>
      </c>
      <c r="G85" s="257">
        <f t="shared" si="199"/>
        <v>0.24394290206940306</v>
      </c>
      <c r="H85" s="257">
        <f t="shared" si="199"/>
        <v>6.4722629726485792E-2</v>
      </c>
      <c r="I85" s="257">
        <f t="shared" si="199"/>
        <v>-0.18116664215966594</v>
      </c>
      <c r="J85" s="258">
        <f t="shared" si="199"/>
        <v>-9.6773192333699076E-2</v>
      </c>
      <c r="K85" s="269">
        <f t="shared" si="199"/>
        <v>9.659216423588779E-2</v>
      </c>
    </row>
    <row r="86" spans="1:11" x14ac:dyDescent="0.25">
      <c r="A86" s="268" t="s">
        <v>304</v>
      </c>
      <c r="B86" s="256"/>
      <c r="C86" s="257"/>
      <c r="D86" s="257"/>
      <c r="E86" s="257"/>
      <c r="F86" s="257"/>
      <c r="G86" s="257"/>
      <c r="H86" s="257"/>
      <c r="I86" s="257"/>
      <c r="J86" s="258"/>
      <c r="K86" s="269"/>
    </row>
    <row r="87" spans="1:11" x14ac:dyDescent="0.25">
      <c r="A87" s="268" t="s">
        <v>305</v>
      </c>
      <c r="B87" s="256"/>
      <c r="C87" s="257"/>
      <c r="D87" s="257"/>
      <c r="E87" s="257"/>
      <c r="F87" s="257"/>
      <c r="G87" s="257"/>
      <c r="H87" s="257"/>
      <c r="I87" s="257"/>
      <c r="J87" s="258"/>
      <c r="K87" s="269"/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22" t="str">
        <f>+A23</f>
        <v>DESPACHO DOMESTICO DE VINO SIN MENCIÓN VARIETAL - Millones de litros</v>
      </c>
      <c r="B95" s="323"/>
      <c r="C95" s="323"/>
      <c r="D95" s="323"/>
      <c r="E95" s="323"/>
      <c r="F95" s="323"/>
      <c r="G95" s="323"/>
      <c r="H95" s="323"/>
      <c r="I95" s="323"/>
      <c r="J95" s="323"/>
      <c r="K95" s="324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00">+C96+1</f>
        <v>2018</v>
      </c>
      <c r="E96" s="260">
        <f t="shared" ref="E96" si="201">+D96+1</f>
        <v>2019</v>
      </c>
      <c r="F96" s="260">
        <f t="shared" ref="F96" si="202">+E96+1</f>
        <v>2020</v>
      </c>
      <c r="G96" s="260">
        <f t="shared" ref="G96" si="203">+F96+1</f>
        <v>2021</v>
      </c>
      <c r="H96" s="260">
        <f t="shared" ref="H96" si="204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05">+SUM(C25:C27)</f>
        <v>146.18610000000001</v>
      </c>
      <c r="D97" s="6">
        <f t="shared" si="205"/>
        <v>144.30289999999999</v>
      </c>
      <c r="E97" s="6">
        <f t="shared" si="205"/>
        <v>143.88490000000002</v>
      </c>
      <c r="F97" s="6">
        <f t="shared" si="205"/>
        <v>150.2227</v>
      </c>
      <c r="G97" s="6">
        <f t="shared" si="205"/>
        <v>121.4341</v>
      </c>
      <c r="H97" s="6">
        <f t="shared" si="205"/>
        <v>123.9375</v>
      </c>
      <c r="I97" s="6">
        <f t="shared" si="205"/>
        <v>110.70420000000001</v>
      </c>
      <c r="J97" s="67">
        <f t="shared" si="205"/>
        <v>109.45710000000001</v>
      </c>
      <c r="K97" s="265">
        <f t="shared" si="205"/>
        <v>114.7526</v>
      </c>
    </row>
    <row r="98" spans="1:11" x14ac:dyDescent="0.25">
      <c r="A98" s="264" t="s">
        <v>300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4" t="s">
        <v>301</v>
      </c>
      <c r="B99" s="193"/>
      <c r="C99" s="6"/>
      <c r="D99" s="6"/>
      <c r="E99" s="6"/>
      <c r="F99" s="6"/>
      <c r="G99" s="6"/>
      <c r="H99" s="6"/>
      <c r="I99" s="6"/>
      <c r="J99" s="67"/>
      <c r="K99" s="265"/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06">SUM(B97:B100)</f>
        <v>163.02981700000001</v>
      </c>
      <c r="C101" s="54">
        <f t="shared" si="206"/>
        <v>146.18610000000001</v>
      </c>
      <c r="D101" s="54">
        <f t="shared" si="206"/>
        <v>144.30289999999999</v>
      </c>
      <c r="E101" s="54">
        <f t="shared" si="206"/>
        <v>143.88490000000002</v>
      </c>
      <c r="F101" s="54">
        <f t="shared" si="206"/>
        <v>150.2227</v>
      </c>
      <c r="G101" s="54">
        <f t="shared" si="206"/>
        <v>121.4341</v>
      </c>
      <c r="H101" s="54">
        <f t="shared" si="206"/>
        <v>123.9375</v>
      </c>
      <c r="I101" s="54">
        <f t="shared" si="206"/>
        <v>110.70420000000001</v>
      </c>
      <c r="J101" s="186">
        <f t="shared" si="206"/>
        <v>109.45710000000001</v>
      </c>
      <c r="K101" s="267">
        <f t="shared" si="206"/>
        <v>114.7526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07">+D97/C97-1</f>
        <v>-1.2882209731294725E-2</v>
      </c>
      <c r="E102" s="257">
        <f t="shared" si="207"/>
        <v>-2.8966846820124292E-3</v>
      </c>
      <c r="F102" s="257">
        <f t="shared" si="207"/>
        <v>4.4047707577375972E-2</v>
      </c>
      <c r="G102" s="257">
        <f t="shared" si="207"/>
        <v>-0.19163947925313551</v>
      </c>
      <c r="H102" s="257">
        <f t="shared" si="207"/>
        <v>2.0615296691785856E-2</v>
      </c>
      <c r="I102" s="257">
        <f t="shared" si="207"/>
        <v>-0.10677397881996964</v>
      </c>
      <c r="J102" s="258">
        <f t="shared" si="207"/>
        <v>-1.1265155251562353E-2</v>
      </c>
      <c r="K102" s="269">
        <f t="shared" si="207"/>
        <v>4.8379684826292513E-2</v>
      </c>
    </row>
    <row r="103" spans="1:11" x14ac:dyDescent="0.25">
      <c r="A103" s="268" t="s">
        <v>304</v>
      </c>
      <c r="B103" s="256"/>
      <c r="C103" s="257"/>
      <c r="D103" s="257"/>
      <c r="E103" s="257"/>
      <c r="F103" s="257"/>
      <c r="G103" s="257"/>
      <c r="H103" s="257"/>
      <c r="I103" s="257"/>
      <c r="J103" s="258"/>
      <c r="K103" s="269"/>
    </row>
    <row r="104" spans="1:11" x14ac:dyDescent="0.25">
      <c r="A104" s="268" t="s">
        <v>305</v>
      </c>
      <c r="B104" s="256"/>
      <c r="C104" s="257"/>
      <c r="D104" s="257"/>
      <c r="E104" s="257"/>
      <c r="F104" s="257"/>
      <c r="G104" s="257"/>
      <c r="H104" s="257"/>
      <c r="I104" s="257"/>
      <c r="J104" s="258"/>
      <c r="K104" s="269"/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22" t="str">
        <f>+A41</f>
        <v>DESPACHO DOMESTICO DE VINO ESPUMANTE Y GASIFICADO - Millones de litros</v>
      </c>
      <c r="B112" s="323"/>
      <c r="C112" s="323"/>
      <c r="D112" s="323"/>
      <c r="E112" s="323"/>
      <c r="F112" s="323"/>
      <c r="G112" s="323"/>
      <c r="H112" s="323"/>
      <c r="I112" s="323"/>
      <c r="J112" s="323"/>
      <c r="K112" s="324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08">+C113+1</f>
        <v>2018</v>
      </c>
      <c r="E113" s="260">
        <f t="shared" ref="E113" si="209">+D113+1</f>
        <v>2019</v>
      </c>
      <c r="F113" s="260">
        <f t="shared" ref="F113" si="210">+E113+1</f>
        <v>2020</v>
      </c>
      <c r="G113" s="260">
        <f t="shared" ref="G113" si="211">+F113+1</f>
        <v>2021</v>
      </c>
      <c r="H113" s="260">
        <f t="shared" ref="H113" si="212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213">+SUM(C43:C45)</f>
        <v>6.53979</v>
      </c>
      <c r="D114" s="6">
        <f t="shared" si="213"/>
        <v>5.6552000000000007</v>
      </c>
      <c r="E114" s="6">
        <f t="shared" si="213"/>
        <v>4.0521000000000003</v>
      </c>
      <c r="F114" s="6">
        <f t="shared" si="213"/>
        <v>4.0533000000000001</v>
      </c>
      <c r="G114" s="6">
        <f t="shared" si="213"/>
        <v>5.1682000000000006</v>
      </c>
      <c r="H114" s="6">
        <f t="shared" si="213"/>
        <v>6.3169000000000004</v>
      </c>
      <c r="I114" s="6">
        <f t="shared" si="213"/>
        <v>5.4825999999999997</v>
      </c>
      <c r="J114" s="67">
        <f t="shared" si="213"/>
        <v>4.0001999999999995</v>
      </c>
      <c r="K114" s="265">
        <f t="shared" si="213"/>
        <v>3.9517000000000002</v>
      </c>
    </row>
    <row r="115" spans="1:11" x14ac:dyDescent="0.25">
      <c r="A115" s="264" t="s">
        <v>300</v>
      </c>
      <c r="B115" s="193"/>
      <c r="C115" s="6"/>
      <c r="D115" s="6"/>
      <c r="E115" s="6"/>
      <c r="F115" s="6"/>
      <c r="G115" s="6"/>
      <c r="H115" s="6"/>
      <c r="I115" s="6"/>
      <c r="J115" s="67"/>
      <c r="K115" s="265"/>
    </row>
    <row r="116" spans="1:11" x14ac:dyDescent="0.25">
      <c r="A116" s="264" t="s">
        <v>301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214">SUM(B114:B117)</f>
        <v>7.8330719999999996</v>
      </c>
      <c r="C118" s="54">
        <f t="shared" si="214"/>
        <v>6.53979</v>
      </c>
      <c r="D118" s="54">
        <f t="shared" si="214"/>
        <v>5.6552000000000007</v>
      </c>
      <c r="E118" s="54">
        <f t="shared" si="214"/>
        <v>4.0521000000000003</v>
      </c>
      <c r="F118" s="54">
        <f t="shared" si="214"/>
        <v>4.0533000000000001</v>
      </c>
      <c r="G118" s="54">
        <f t="shared" si="214"/>
        <v>5.1682000000000006</v>
      </c>
      <c r="H118" s="54">
        <f t="shared" si="214"/>
        <v>6.3169000000000004</v>
      </c>
      <c r="I118" s="54">
        <f t="shared" si="214"/>
        <v>5.4825999999999997</v>
      </c>
      <c r="J118" s="186">
        <f t="shared" si="214"/>
        <v>4.0001999999999995</v>
      </c>
      <c r="K118" s="267">
        <f t="shared" si="214"/>
        <v>3.9517000000000002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215">+D114/C114-1</f>
        <v>-0.13526275308534363</v>
      </c>
      <c r="E119" s="257">
        <f t="shared" si="215"/>
        <v>-0.28347361720186737</v>
      </c>
      <c r="F119" s="257">
        <f t="shared" si="215"/>
        <v>2.9614274080103087E-4</v>
      </c>
      <c r="G119" s="257">
        <f t="shared" si="215"/>
        <v>0.27505982779463656</v>
      </c>
      <c r="H119" s="257">
        <f t="shared" si="215"/>
        <v>0.22226307031461623</v>
      </c>
      <c r="I119" s="257">
        <f t="shared" si="215"/>
        <v>-0.13207427693963825</v>
      </c>
      <c r="J119" s="258">
        <f t="shared" si="215"/>
        <v>-0.27038266515886633</v>
      </c>
      <c r="K119" s="269">
        <f t="shared" si="215"/>
        <v>-1.2124393780310827E-2</v>
      </c>
    </row>
    <row r="120" spans="1:11" x14ac:dyDescent="0.25">
      <c r="A120" s="268" t="s">
        <v>304</v>
      </c>
      <c r="B120" s="256"/>
      <c r="C120" s="257"/>
      <c r="D120" s="257"/>
      <c r="E120" s="257"/>
      <c r="F120" s="257"/>
      <c r="G120" s="257"/>
      <c r="H120" s="257"/>
      <c r="I120" s="257"/>
      <c r="J120" s="258"/>
      <c r="K120" s="269"/>
    </row>
    <row r="121" spans="1:11" x14ac:dyDescent="0.25">
      <c r="A121" s="268" t="s">
        <v>305</v>
      </c>
      <c r="B121" s="256"/>
      <c r="C121" s="257"/>
      <c r="D121" s="257"/>
      <c r="E121" s="257"/>
      <c r="F121" s="257"/>
      <c r="G121" s="257"/>
      <c r="H121" s="257"/>
      <c r="I121" s="257"/>
      <c r="J121" s="258"/>
      <c r="K121" s="269"/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19" t="str">
        <f>+A59</f>
        <v>DESPACHO DOMESTICO TOTAL DE VINO - Millones de litros</v>
      </c>
      <c r="B129" s="320"/>
      <c r="C129" s="320"/>
      <c r="D129" s="320"/>
      <c r="E129" s="320"/>
      <c r="F129" s="320"/>
      <c r="G129" s="320"/>
      <c r="H129" s="320"/>
      <c r="I129" s="320"/>
      <c r="J129" s="320"/>
      <c r="K129" s="321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216">+C130+1</f>
        <v>2018</v>
      </c>
      <c r="E130" s="260">
        <f t="shared" ref="E130" si="217">+D130+1</f>
        <v>2019</v>
      </c>
      <c r="F130" s="260">
        <f t="shared" ref="F130" si="218">+E130+1</f>
        <v>2020</v>
      </c>
      <c r="G130" s="260">
        <f t="shared" ref="G130" si="219">+F130+1</f>
        <v>2021</v>
      </c>
      <c r="H130" s="260">
        <f t="shared" ref="H130" si="220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275">
        <f>+SUM(B60:B62)</f>
        <v>2150.2217000000001</v>
      </c>
      <c r="C131" s="160">
        <f t="shared" ref="C131:K131" si="221">+SUM(C60:C62)</f>
        <v>2133.0583000000001</v>
      </c>
      <c r="D131" s="160">
        <f t="shared" si="221"/>
        <v>2134.4922999999999</v>
      </c>
      <c r="E131" s="160">
        <f t="shared" si="221"/>
        <v>2138.8447000000001</v>
      </c>
      <c r="F131" s="160">
        <f t="shared" si="221"/>
        <v>2153.2695000000003</v>
      </c>
      <c r="G131" s="160">
        <f t="shared" si="221"/>
        <v>2143.7652000000003</v>
      </c>
      <c r="H131" s="160">
        <f t="shared" si="221"/>
        <v>2136.4092000000001</v>
      </c>
      <c r="I131" s="160">
        <f t="shared" si="221"/>
        <v>2127.5925999999999</v>
      </c>
      <c r="J131" s="161">
        <f t="shared" si="221"/>
        <v>2124.3575000000001</v>
      </c>
      <c r="K131" s="276">
        <f t="shared" si="221"/>
        <v>2133.4235000000003</v>
      </c>
    </row>
    <row r="132" spans="1:11" x14ac:dyDescent="0.25">
      <c r="A132" s="264" t="s">
        <v>300</v>
      </c>
      <c r="B132" s="193"/>
      <c r="C132" s="6"/>
      <c r="D132" s="6"/>
      <c r="E132" s="6"/>
      <c r="F132" s="6"/>
      <c r="G132" s="6"/>
      <c r="H132" s="6"/>
      <c r="I132" s="6"/>
      <c r="J132" s="67"/>
      <c r="K132" s="265"/>
    </row>
    <row r="133" spans="1:11" x14ac:dyDescent="0.25">
      <c r="A133" s="264" t="s">
        <v>301</v>
      </c>
      <c r="B133" s="193"/>
      <c r="C133" s="6"/>
      <c r="D133" s="6"/>
      <c r="E133" s="6"/>
      <c r="F133" s="6"/>
      <c r="G133" s="6"/>
      <c r="H133" s="6"/>
      <c r="I133" s="6"/>
      <c r="J133" s="67"/>
      <c r="K133" s="265"/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222">SUM(B131:B134)</f>
        <v>2150.2217000000001</v>
      </c>
      <c r="C135" s="54">
        <f t="shared" si="222"/>
        <v>2133.0583000000001</v>
      </c>
      <c r="D135" s="54">
        <f t="shared" si="222"/>
        <v>2134.4922999999999</v>
      </c>
      <c r="E135" s="54">
        <f t="shared" si="222"/>
        <v>2138.8447000000001</v>
      </c>
      <c r="F135" s="54">
        <f t="shared" si="222"/>
        <v>2153.2695000000003</v>
      </c>
      <c r="G135" s="54">
        <f t="shared" si="222"/>
        <v>2143.7652000000003</v>
      </c>
      <c r="H135" s="54">
        <f t="shared" si="222"/>
        <v>2136.4092000000001</v>
      </c>
      <c r="I135" s="54">
        <f t="shared" si="222"/>
        <v>2127.5925999999999</v>
      </c>
      <c r="J135" s="186">
        <f t="shared" si="222"/>
        <v>2124.3575000000001</v>
      </c>
      <c r="K135" s="267">
        <f t="shared" si="222"/>
        <v>2133.4235000000003</v>
      </c>
    </row>
    <row r="136" spans="1:11" x14ac:dyDescent="0.25">
      <c r="A136" s="268" t="s">
        <v>303</v>
      </c>
      <c r="B136" s="256"/>
      <c r="C136" s="257">
        <f>+C131/B131-1</f>
        <v>-7.9821536542021843E-3</v>
      </c>
      <c r="D136" s="257">
        <f t="shared" ref="D136:K136" si="223">+D131/C131-1</f>
        <v>6.7227417084647634E-4</v>
      </c>
      <c r="E136" s="257">
        <f t="shared" si="223"/>
        <v>2.0390797380718251E-3</v>
      </c>
      <c r="F136" s="257">
        <f t="shared" si="223"/>
        <v>6.7442016711172226E-3</v>
      </c>
      <c r="G136" s="257">
        <f t="shared" si="223"/>
        <v>-4.4138924551710979E-3</v>
      </c>
      <c r="H136" s="257">
        <f t="shared" si="223"/>
        <v>-3.4313459328475515E-3</v>
      </c>
      <c r="I136" s="257">
        <f t="shared" si="223"/>
        <v>-4.1268311332867125E-3</v>
      </c>
      <c r="J136" s="258">
        <f t="shared" si="223"/>
        <v>-1.5205448637111152E-3</v>
      </c>
      <c r="K136" s="269">
        <f t="shared" si="223"/>
        <v>4.2676432756729721E-3</v>
      </c>
    </row>
    <row r="137" spans="1:11" x14ac:dyDescent="0.25">
      <c r="A137" s="268" t="s">
        <v>304</v>
      </c>
      <c r="B137" s="256"/>
      <c r="C137" s="257"/>
      <c r="D137" s="257"/>
      <c r="E137" s="257"/>
      <c r="F137" s="257"/>
      <c r="G137" s="257"/>
      <c r="H137" s="257"/>
      <c r="I137" s="257"/>
      <c r="J137" s="258"/>
      <c r="K137" s="269"/>
    </row>
    <row r="138" spans="1:11" x14ac:dyDescent="0.25">
      <c r="A138" s="268" t="s">
        <v>305</v>
      </c>
      <c r="B138" s="256"/>
      <c r="C138" s="257"/>
      <c r="D138" s="257"/>
      <c r="E138" s="257"/>
      <c r="F138" s="257"/>
      <c r="G138" s="257"/>
      <c r="H138" s="257"/>
      <c r="I138" s="257"/>
      <c r="J138" s="258"/>
      <c r="K138" s="269"/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</sheetData>
  <mergeCells count="15">
    <mergeCell ref="A1:Z1"/>
    <mergeCell ref="A2:Z2"/>
    <mergeCell ref="A3:Z3"/>
    <mergeCell ref="A5:L5"/>
    <mergeCell ref="N5:Z5"/>
    <mergeCell ref="N23:Z23"/>
    <mergeCell ref="A41:L41"/>
    <mergeCell ref="N41:Z41"/>
    <mergeCell ref="A59:L59"/>
    <mergeCell ref="N59:Z59"/>
    <mergeCell ref="A129:K129"/>
    <mergeCell ref="A78:K78"/>
    <mergeCell ref="A95:K95"/>
    <mergeCell ref="A112:K112"/>
    <mergeCell ref="A23:L23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X82" sqref="X82:Z82"/>
    </sheetView>
  </sheetViews>
  <sheetFormatPr baseColWidth="10" defaultRowHeight="15" x14ac:dyDescent="0.25"/>
  <cols>
    <col min="1" max="1" width="11.85546875" style="1" customWidth="1"/>
    <col min="2" max="11" width="6.14062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17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20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234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235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192">
        <v>2023</v>
      </c>
      <c r="W6" s="40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2">+SUM(C7)+SUM(B8:B18)</f>
        <v>38.162400000000005</v>
      </c>
      <c r="Q7" s="6">
        <f t="shared" si="2"/>
        <v>35.879300000000001</v>
      </c>
      <c r="R7" s="6">
        <f t="shared" si="2"/>
        <v>32.588800000000006</v>
      </c>
      <c r="S7" s="6">
        <f t="shared" si="2"/>
        <v>31.348400000000002</v>
      </c>
      <c r="T7" s="6">
        <f t="shared" si="2"/>
        <v>35.797199999999997</v>
      </c>
      <c r="U7" s="6">
        <f t="shared" si="2"/>
        <v>31.3767</v>
      </c>
      <c r="V7" s="67">
        <f t="shared" si="2"/>
        <v>28.803999999999998</v>
      </c>
      <c r="W7" s="37">
        <f t="shared" si="2"/>
        <v>26.798000000000002</v>
      </c>
      <c r="X7" s="37">
        <f t="shared" si="2"/>
        <v>22.494500000000002</v>
      </c>
      <c r="Y7" s="78">
        <f>+X7/W7-1</f>
        <v>-0.16059034256287785</v>
      </c>
      <c r="Z7" s="7">
        <f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>+K8/J8-1</f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3">+SUM(C7:C8)+SUM(B9:B18)</f>
        <v>38.251899999999992</v>
      </c>
      <c r="Q8" s="6">
        <f t="shared" si="3"/>
        <v>35.938800000000001</v>
      </c>
      <c r="R8" s="6">
        <f t="shared" si="3"/>
        <v>32.350200000000001</v>
      </c>
      <c r="S8" s="6">
        <f t="shared" si="3"/>
        <v>31.015800000000006</v>
      </c>
      <c r="T8" s="6">
        <f t="shared" si="3"/>
        <v>36.069699999999997</v>
      </c>
      <c r="U8" s="6">
        <f t="shared" si="3"/>
        <v>31.213299999999997</v>
      </c>
      <c r="V8" s="67">
        <f t="shared" si="3"/>
        <v>28.675000000000001</v>
      </c>
      <c r="W8" s="37">
        <f t="shared" si="3"/>
        <v>26.302100000000003</v>
      </c>
      <c r="X8" s="37">
        <f t="shared" si="3"/>
        <v>22.403000000000002</v>
      </c>
      <c r="Y8" s="78">
        <f>+X8/W8-1</f>
        <v>-0.14824291596488492</v>
      </c>
      <c r="Z8" s="7">
        <f>+POWER(X8/S8,0.2)-1</f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>+K9/J9-1</f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4">+SUM(C7:C9)+SUM(B10:B18)</f>
        <v>38.4178</v>
      </c>
      <c r="Q9" s="6">
        <f t="shared" si="4"/>
        <v>35.739599999999996</v>
      </c>
      <c r="R9" s="6">
        <f t="shared" si="4"/>
        <v>32.376600000000003</v>
      </c>
      <c r="S9" s="6">
        <f t="shared" si="4"/>
        <v>30.4909</v>
      </c>
      <c r="T9" s="6">
        <f t="shared" si="4"/>
        <v>36.0901</v>
      </c>
      <c r="U9" s="6">
        <f t="shared" si="4"/>
        <v>31.558799999999998</v>
      </c>
      <c r="V9" s="67">
        <f t="shared" si="4"/>
        <v>28.3081</v>
      </c>
      <c r="W9" s="37">
        <f t="shared" si="4"/>
        <v>25.624600000000001</v>
      </c>
      <c r="X9" s="37">
        <f t="shared" si="4"/>
        <v>22.699499999999997</v>
      </c>
      <c r="Y9" s="78">
        <f>+X9/W9-1</f>
        <v>-0.11415202578771977</v>
      </c>
      <c r="Z9" s="7">
        <f>+POWER(X9/S9,0.2)-1</f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>+K10/J10-1</f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5">+SUM(C7:C10)+SUM(B11:B18)</f>
        <v>38.073800000000006</v>
      </c>
      <c r="Q10" s="6">
        <f t="shared" si="5"/>
        <v>35.293300000000002</v>
      </c>
      <c r="R10" s="6">
        <f t="shared" si="5"/>
        <v>32.191100000000006</v>
      </c>
      <c r="S10" s="6">
        <f t="shared" si="5"/>
        <v>30.895400000000002</v>
      </c>
      <c r="T10" s="6">
        <f t="shared" si="5"/>
        <v>35.610799999999998</v>
      </c>
      <c r="U10" s="6">
        <f t="shared" si="5"/>
        <v>31.398099999999999</v>
      </c>
      <c r="V10" s="67">
        <f t="shared" si="5"/>
        <v>28.365299999999998</v>
      </c>
      <c r="W10" s="37">
        <f t="shared" si="5"/>
        <v>25.390500000000003</v>
      </c>
      <c r="X10" s="37">
        <f t="shared" si="5"/>
        <v>22.231399999999997</v>
      </c>
      <c r="Y10" s="78">
        <f>+X10/W10-1</f>
        <v>-0.12442055099348204</v>
      </c>
      <c r="Z10" s="7">
        <f>+POWER(X10/S10,0.2)-1</f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/>
      <c r="L11" s="7"/>
      <c r="M11" s="2"/>
      <c r="N11" s="42" t="s">
        <v>2</v>
      </c>
      <c r="O11" s="6">
        <f>+'[2]2.CONSUMO ARGENTINA POR ENVASE'!$B745/10000</f>
        <v>32.09685555555555</v>
      </c>
      <c r="P11" s="6">
        <f t="shared" ref="P11:W11" si="6">+SUM(C7:C11)+SUM(B12:B18)</f>
        <v>37.390899999999995</v>
      </c>
      <c r="Q11" s="6">
        <f t="shared" si="6"/>
        <v>34.839599999999997</v>
      </c>
      <c r="R11" s="6">
        <f t="shared" si="6"/>
        <v>32.736800000000002</v>
      </c>
      <c r="S11" s="6">
        <f t="shared" si="6"/>
        <v>30.933300000000003</v>
      </c>
      <c r="T11" s="6">
        <f t="shared" si="6"/>
        <v>35.594099999999997</v>
      </c>
      <c r="U11" s="6">
        <f t="shared" si="6"/>
        <v>31.0852</v>
      </c>
      <c r="V11" s="67">
        <f t="shared" si="6"/>
        <v>28.9483</v>
      </c>
      <c r="W11" s="37">
        <f t="shared" si="6"/>
        <v>24.268999999999998</v>
      </c>
      <c r="X11" s="37"/>
      <c r="Y11" s="78"/>
      <c r="Z11" s="7"/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/>
      <c r="L12" s="7"/>
      <c r="M12" s="2"/>
      <c r="N12" s="42" t="s">
        <v>3</v>
      </c>
      <c r="O12" s="6">
        <f>+'[2]2.CONSUMO ARGENTINA POR ENVASE'!$B746/10000</f>
        <v>36.88281111111111</v>
      </c>
      <c r="P12" s="6">
        <f t="shared" ref="P12:W12" si="7">+SUM(C7:C12)+SUM(B13:B18)</f>
        <v>37.741100000000003</v>
      </c>
      <c r="Q12" s="6">
        <f t="shared" si="7"/>
        <v>34.496299999999998</v>
      </c>
      <c r="R12" s="6">
        <f t="shared" si="7"/>
        <v>32.641099999999994</v>
      </c>
      <c r="S12" s="6">
        <f t="shared" si="7"/>
        <v>32.526899999999998</v>
      </c>
      <c r="T12" s="6">
        <f t="shared" si="7"/>
        <v>34.0139</v>
      </c>
      <c r="U12" s="6">
        <f t="shared" si="7"/>
        <v>30.796499999999998</v>
      </c>
      <c r="V12" s="67">
        <f t="shared" si="7"/>
        <v>30.03</v>
      </c>
      <c r="W12" s="37">
        <f t="shared" si="7"/>
        <v>22.8292</v>
      </c>
      <c r="X12" s="37"/>
      <c r="Y12" s="78"/>
      <c r="Z12" s="7"/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/>
      <c r="L13" s="7"/>
      <c r="M13" s="2"/>
      <c r="N13" s="42" t="s">
        <v>4</v>
      </c>
      <c r="O13" s="6">
        <f>+'[2]2.CONSUMO ARGENTINA POR ENVASE'!$B747/10000</f>
        <v>35.323733333333337</v>
      </c>
      <c r="P13" s="6">
        <f t="shared" ref="P13:W13" si="8">+SUM(C7:C13)+SUM(B14:B18)</f>
        <v>37.494999999999997</v>
      </c>
      <c r="Q13" s="6">
        <f t="shared" si="8"/>
        <v>34.951799999999999</v>
      </c>
      <c r="R13" s="6">
        <f t="shared" si="8"/>
        <v>32.0458</v>
      </c>
      <c r="S13" s="6">
        <f t="shared" si="8"/>
        <v>33.039900000000003</v>
      </c>
      <c r="T13" s="6">
        <f t="shared" si="8"/>
        <v>33.535299999999999</v>
      </c>
      <c r="U13" s="6">
        <f t="shared" si="8"/>
        <v>30.539400000000001</v>
      </c>
      <c r="V13" s="67">
        <f t="shared" si="8"/>
        <v>29.362500000000001</v>
      </c>
      <c r="W13" s="37">
        <f t="shared" si="8"/>
        <v>23.1267</v>
      </c>
      <c r="X13" s="37"/>
      <c r="Y13" s="78"/>
      <c r="Z13" s="7"/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/>
      <c r="L14" s="7"/>
      <c r="M14" s="2"/>
      <c r="N14" s="42" t="s">
        <v>5</v>
      </c>
      <c r="O14" s="6">
        <f>+'[2]2.CONSUMO ARGENTINA POR ENVASE'!$B748/10000</f>
        <v>35.240533333333332</v>
      </c>
      <c r="P14" s="6">
        <f t="shared" ref="P14:W14" si="9">+SUM(C7:C14)+SUM(B15:B18)</f>
        <v>36.860199999999999</v>
      </c>
      <c r="Q14" s="6">
        <f t="shared" si="9"/>
        <v>34.756399999999999</v>
      </c>
      <c r="R14" s="6">
        <f t="shared" si="9"/>
        <v>31.8401</v>
      </c>
      <c r="S14" s="6">
        <f t="shared" si="9"/>
        <v>33.281700000000001</v>
      </c>
      <c r="T14" s="6">
        <f t="shared" si="9"/>
        <v>33.158000000000001</v>
      </c>
      <c r="U14" s="6">
        <f t="shared" si="9"/>
        <v>30.308999999999997</v>
      </c>
      <c r="V14" s="67">
        <f t="shared" si="9"/>
        <v>29.356300000000001</v>
      </c>
      <c r="W14" s="37">
        <f t="shared" si="9"/>
        <v>22.630499999999998</v>
      </c>
      <c r="X14" s="37"/>
      <c r="Y14" s="78"/>
      <c r="Z14" s="7"/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/>
      <c r="L15" s="7"/>
      <c r="M15" s="2"/>
      <c r="N15" s="42" t="s">
        <v>6</v>
      </c>
      <c r="O15" s="6">
        <f>+'[2]2.CONSUMO ARGENTINA POR ENVASE'!$B749/10000</f>
        <v>35.755433333333329</v>
      </c>
      <c r="P15" s="6">
        <f t="shared" ref="P15:W15" si="10">+SUM(C7:C15)+SUM(B16:B18)</f>
        <v>37.179299999999998</v>
      </c>
      <c r="Q15" s="6">
        <f t="shared" si="10"/>
        <v>33.729399999999998</v>
      </c>
      <c r="R15" s="6">
        <f t="shared" si="10"/>
        <v>31.5425</v>
      </c>
      <c r="S15" s="6">
        <f t="shared" si="10"/>
        <v>34.0702</v>
      </c>
      <c r="T15" s="6">
        <f t="shared" si="10"/>
        <v>32.846800000000002</v>
      </c>
      <c r="U15" s="6">
        <f t="shared" si="10"/>
        <v>29.944899999999997</v>
      </c>
      <c r="V15" s="67">
        <f t="shared" si="10"/>
        <v>28.665700000000001</v>
      </c>
      <c r="W15" s="37">
        <f t="shared" si="10"/>
        <v>22.7376</v>
      </c>
      <c r="X15" s="37"/>
      <c r="Y15" s="78"/>
      <c r="Z15" s="7"/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34.300988888888888</v>
      </c>
      <c r="P16" s="6">
        <f t="shared" ref="P16:W16" si="11">+SUM(C7:C16)+SUM(B17:B18)</f>
        <v>36.650999999999996</v>
      </c>
      <c r="Q16" s="6">
        <f t="shared" si="11"/>
        <v>33.306800000000003</v>
      </c>
      <c r="R16" s="6">
        <f t="shared" si="11"/>
        <v>31.452700000000004</v>
      </c>
      <c r="S16" s="6">
        <f t="shared" si="11"/>
        <v>35.087699999999998</v>
      </c>
      <c r="T16" s="6">
        <f t="shared" si="11"/>
        <v>31.8384</v>
      </c>
      <c r="U16" s="6">
        <f t="shared" si="11"/>
        <v>29.9343</v>
      </c>
      <c r="V16" s="67">
        <f t="shared" si="11"/>
        <v>28.1616</v>
      </c>
      <c r="W16" s="37">
        <f t="shared" si="11"/>
        <v>22.672399999999996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12">+SUM(C7:C17)+SUM(B18)</f>
        <v>36.455600000000004</v>
      </c>
      <c r="Q17" s="6">
        <f t="shared" si="12"/>
        <v>33.128100000000003</v>
      </c>
      <c r="R17" s="6">
        <f t="shared" si="12"/>
        <v>31.068400000000004</v>
      </c>
      <c r="S17" s="6">
        <f t="shared" si="12"/>
        <v>35.477999999999994</v>
      </c>
      <c r="T17" s="6">
        <f t="shared" si="12"/>
        <v>32.131799999999998</v>
      </c>
      <c r="U17" s="6">
        <f t="shared" si="12"/>
        <v>29.485999999999997</v>
      </c>
      <c r="V17" s="67">
        <f t="shared" si="12"/>
        <v>27.544600000000003</v>
      </c>
      <c r="W17" s="37">
        <f t="shared" si="12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13">+SUM(C7:C18)</f>
        <v>36.200000000000003</v>
      </c>
      <c r="Q18" s="6">
        <f t="shared" si="13"/>
        <v>32.605600000000003</v>
      </c>
      <c r="R18" s="6">
        <f t="shared" si="13"/>
        <v>31.376300000000004</v>
      </c>
      <c r="S18" s="6">
        <f t="shared" si="13"/>
        <v>35.896699999999996</v>
      </c>
      <c r="T18" s="6">
        <f t="shared" si="13"/>
        <v>31.777999999999999</v>
      </c>
      <c r="U18" s="6">
        <f t="shared" si="13"/>
        <v>28.790199999999999</v>
      </c>
      <c r="V18" s="67">
        <f t="shared" si="13"/>
        <v>27.360300000000002</v>
      </c>
      <c r="W18" s="37">
        <f t="shared" si="13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186">
        <f t="shared" si="15"/>
        <v>22.314799999999998</v>
      </c>
      <c r="K19" s="186"/>
      <c r="L19" s="165"/>
      <c r="M19" s="3"/>
      <c r="N19" s="43" t="s">
        <v>14</v>
      </c>
      <c r="O19" s="46">
        <f t="shared" ref="O19" si="16">+AVERAGE(O7:O18)</f>
        <v>35.258469444444437</v>
      </c>
      <c r="P19" s="46">
        <f>+AVERAGE(P7:P18)</f>
        <v>37.406583333333337</v>
      </c>
      <c r="Q19" s="46">
        <f t="shared" ref="Q19:T19" si="17">+AVERAGE(Q7:Q18)</f>
        <v>34.555416666666666</v>
      </c>
      <c r="R19" s="46">
        <f t="shared" si="17"/>
        <v>32.01753333333334</v>
      </c>
      <c r="S19" s="46">
        <f t="shared" si="17"/>
        <v>32.838741666666671</v>
      </c>
      <c r="T19" s="46">
        <f t="shared" si="17"/>
        <v>34.038675000000005</v>
      </c>
      <c r="U19" s="226">
        <f t="shared" ref="U19:V19" si="18">+AVERAGE(U7:U18)</f>
        <v>30.536033333333336</v>
      </c>
      <c r="V19" s="220">
        <f t="shared" si="18"/>
        <v>28.631808333333336</v>
      </c>
      <c r="W19" s="197">
        <f t="shared" ref="W19:X19" si="19">+AVERAGE(W7:W18)</f>
        <v>23.957149999999999</v>
      </c>
      <c r="X19" s="197">
        <f t="shared" si="19"/>
        <v>22.457100000000001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20">+B19/B$91</f>
        <v>4.009120277643851E-2</v>
      </c>
      <c r="C20" s="58">
        <f t="shared" si="20"/>
        <v>4.0560087753206436E-2</v>
      </c>
      <c r="D20" s="58">
        <f t="shared" si="20"/>
        <v>3.8834586049749042E-2</v>
      </c>
      <c r="E20" s="58">
        <f t="shared" si="20"/>
        <v>3.544306171084563E-2</v>
      </c>
      <c r="F20" s="58">
        <f t="shared" si="20"/>
        <v>3.8067870542070552E-2</v>
      </c>
      <c r="G20" s="58">
        <f t="shared" si="20"/>
        <v>3.7916924493321402E-2</v>
      </c>
      <c r="H20" s="58">
        <f t="shared" ref="H20" si="21">+H19/H$91</f>
        <v>3.4787166609191914E-2</v>
      </c>
      <c r="I20" s="58">
        <f t="shared" ref="I20:J20" si="22">+I19/I$91</f>
        <v>3.5291763978081175E-2</v>
      </c>
      <c r="J20" s="189">
        <f t="shared" si="22"/>
        <v>2.9262130480349653E-2</v>
      </c>
      <c r="K20" s="189"/>
      <c r="L20" s="59"/>
      <c r="M20" s="3"/>
      <c r="N20" s="44" t="s">
        <v>15</v>
      </c>
      <c r="O20" s="48">
        <f t="shared" ref="O20:T20" si="23">+O19/O$91</f>
        <v>3.7081461381967426E-2</v>
      </c>
      <c r="P20" s="48">
        <f t="shared" si="23"/>
        <v>4.1006976006681586E-2</v>
      </c>
      <c r="Q20" s="48">
        <f t="shared" si="23"/>
        <v>3.9706112811916314E-2</v>
      </c>
      <c r="R20" s="48">
        <f t="shared" si="23"/>
        <v>3.7464652832592385E-2</v>
      </c>
      <c r="S20" s="48">
        <f t="shared" si="23"/>
        <v>3.5747333592860996E-2</v>
      </c>
      <c r="T20" s="48">
        <f t="shared" si="23"/>
        <v>3.8522224004889638E-2</v>
      </c>
      <c r="U20" s="58">
        <f t="shared" ref="U20:V20" si="24">+U19/U$91</f>
        <v>3.6243044663258749E-2</v>
      </c>
      <c r="V20" s="189">
        <f t="shared" si="24"/>
        <v>3.625894665400111E-2</v>
      </c>
      <c r="W20" s="188">
        <f t="shared" ref="W20:X20" si="25">+W19/W$91</f>
        <v>3.1286825163988639E-2</v>
      </c>
      <c r="X20" s="188">
        <f t="shared" si="25"/>
        <v>2.9109054992626667E-2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26">+D19/C19-1</f>
        <v>-9.9292817679557999E-2</v>
      </c>
      <c r="E21" s="62">
        <f t="shared" si="26"/>
        <v>-3.7702112520548559E-2</v>
      </c>
      <c r="F21" s="62">
        <f t="shared" si="26"/>
        <v>0.14407052456790614</v>
      </c>
      <c r="G21" s="62">
        <f t="shared" si="26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27">+Q19/P19-1</f>
        <v>-7.6220986056376061E-2</v>
      </c>
      <c r="R21" s="50">
        <f t="shared" si="27"/>
        <v>-7.3443864324213348E-2</v>
      </c>
      <c r="S21" s="50">
        <f t="shared" si="27"/>
        <v>2.5648707062588594E-2</v>
      </c>
      <c r="T21" s="50">
        <f t="shared" si="27"/>
        <v>3.6540173966268075E-2</v>
      </c>
      <c r="U21" s="62">
        <f t="shared" si="27"/>
        <v>-0.1029018217268054</v>
      </c>
      <c r="V21" s="190">
        <f t="shared" si="27"/>
        <v>-6.2359933237344789E-2</v>
      </c>
      <c r="W21" s="187">
        <f t="shared" si="27"/>
        <v>-0.1632680087443541</v>
      </c>
      <c r="X21" s="187">
        <f t="shared" si="27"/>
        <v>-6.2613875189661439E-2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25" t="s">
        <v>236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237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28">+C24+1</f>
        <v>2018</v>
      </c>
      <c r="E24" s="39">
        <f t="shared" si="28"/>
        <v>2019</v>
      </c>
      <c r="F24" s="39">
        <f t="shared" si="28"/>
        <v>2020</v>
      </c>
      <c r="G24" s="39">
        <f t="shared" si="28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29">+P24+1</f>
        <v>2018</v>
      </c>
      <c r="R24" s="64">
        <f t="shared" si="29"/>
        <v>2019</v>
      </c>
      <c r="S24" s="64">
        <f t="shared" si="29"/>
        <v>2020</v>
      </c>
      <c r="T24" s="64">
        <f t="shared" ref="T24" si="30">+S24+1</f>
        <v>2021</v>
      </c>
      <c r="U24" s="39">
        <v>2022</v>
      </c>
      <c r="V24" s="192">
        <v>2023</v>
      </c>
      <c r="W24" s="40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31">+SUM(C25)+SUM(B26:B36)</f>
        <v>511.97649999999999</v>
      </c>
      <c r="Q25" s="6">
        <f t="shared" si="31"/>
        <v>490.4418</v>
      </c>
      <c r="R25" s="6">
        <f t="shared" si="31"/>
        <v>469.7792</v>
      </c>
      <c r="S25" s="6">
        <f t="shared" si="31"/>
        <v>505.79139999999995</v>
      </c>
      <c r="T25" s="6">
        <f t="shared" si="31"/>
        <v>563.7115</v>
      </c>
      <c r="U25" s="6">
        <f t="shared" si="31"/>
        <v>496.89320000000004</v>
      </c>
      <c r="V25" s="67">
        <f t="shared" si="31"/>
        <v>519.45550000000003</v>
      </c>
      <c r="W25" s="37">
        <f t="shared" si="31"/>
        <v>477.38369999999998</v>
      </c>
      <c r="X25" s="37">
        <f t="shared" si="31"/>
        <v>485.3832000000001</v>
      </c>
      <c r="Y25" s="78">
        <f>+X25/W25-1</f>
        <v>1.6756960910060625E-2</v>
      </c>
      <c r="Z25" s="7">
        <f>+POWER(X25/S25,0.2)-1</f>
        <v>-8.2032976550879821E-3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>+K26/J26-1</f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32">+SUM(C25:C26)+SUM(B27:B36)</f>
        <v>504.1816</v>
      </c>
      <c r="Q26" s="6">
        <f t="shared" si="32"/>
        <v>493.9769</v>
      </c>
      <c r="R26" s="6">
        <f t="shared" si="32"/>
        <v>469.13170000000002</v>
      </c>
      <c r="S26" s="6">
        <f t="shared" si="32"/>
        <v>511.50429999999994</v>
      </c>
      <c r="T26" s="6">
        <f t="shared" si="32"/>
        <v>562.47199999999998</v>
      </c>
      <c r="U26" s="6">
        <f t="shared" si="32"/>
        <v>498.46580000000006</v>
      </c>
      <c r="V26" s="67">
        <f t="shared" ref="V26" si="33">+SUM(I25:I26)+SUM(H27:H36)</f>
        <v>514.56500000000005</v>
      </c>
      <c r="W26" s="37">
        <f t="shared" ref="W26" si="34">+SUM(J25:J26)+SUM(I27:I36)</f>
        <v>477.80219999999997</v>
      </c>
      <c r="X26" s="37">
        <f t="shared" ref="X26" si="35">+SUM(K25:K26)+SUM(J27:J36)</f>
        <v>487.06709999999998</v>
      </c>
      <c r="Y26" s="78">
        <f>+X26/W26-1</f>
        <v>1.9390659984403591E-2</v>
      </c>
      <c r="Z26" s="7">
        <f>+POWER(X26/S26,0.2)-1</f>
        <v>-9.7430451865335721E-3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>+K27/J27-1</f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36">+SUM(C25:C27)+SUM(B28:B36)</f>
        <v>501.75350000000003</v>
      </c>
      <c r="Q27" s="6">
        <f t="shared" si="36"/>
        <v>490.96249999999998</v>
      </c>
      <c r="R27" s="6">
        <f t="shared" si="36"/>
        <v>466.73040000000003</v>
      </c>
      <c r="S27" s="6">
        <f t="shared" si="36"/>
        <v>512.5945999999999</v>
      </c>
      <c r="T27" s="6">
        <f t="shared" si="36"/>
        <v>563.12329999999997</v>
      </c>
      <c r="U27" s="6">
        <f t="shared" si="36"/>
        <v>506.00250000000005</v>
      </c>
      <c r="V27" s="67">
        <f t="shared" si="36"/>
        <v>506.35040000000004</v>
      </c>
      <c r="W27" s="37">
        <f t="shared" ref="W27" si="37">+SUM(J25:J27)+SUM(I28:I36)</f>
        <v>475.81430000000006</v>
      </c>
      <c r="X27" s="37">
        <f t="shared" ref="X27" si="38">+SUM(K25:K27)+SUM(J28:J36)</f>
        <v>489.74680000000001</v>
      </c>
      <c r="Y27" s="78">
        <f>+X27/W27-1</f>
        <v>2.9281381412874508E-2</v>
      </c>
      <c r="Z27" s="7">
        <f>+POWER(X27/S27,0.2)-1</f>
        <v>-9.0778961238708877E-3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>+K28/J28-1</f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39">+SUM(C25:C28)+SUM(B29:B36)</f>
        <v>494.44959999999998</v>
      </c>
      <c r="Q28" s="6">
        <f t="shared" si="39"/>
        <v>491.61899999999997</v>
      </c>
      <c r="R28" s="6">
        <f t="shared" si="39"/>
        <v>466.01649999999995</v>
      </c>
      <c r="S28" s="6">
        <f t="shared" si="39"/>
        <v>512.93869999999993</v>
      </c>
      <c r="T28" s="6">
        <f t="shared" si="39"/>
        <v>566.10230000000001</v>
      </c>
      <c r="U28" s="6">
        <f t="shared" si="39"/>
        <v>508.89240000000007</v>
      </c>
      <c r="V28" s="67">
        <f t="shared" si="39"/>
        <v>498.94630000000006</v>
      </c>
      <c r="W28" s="37">
        <f t="shared" ref="W28" si="40">+SUM(J25:J28)+SUM(I29:I36)</f>
        <v>474.57120000000003</v>
      </c>
      <c r="X28" s="37">
        <f t="shared" ref="X28" si="41">+SUM(K25:K28)+SUM(J29:J36)</f>
        <v>495.86870000000005</v>
      </c>
      <c r="Y28" s="78">
        <f>+X28/W28-1</f>
        <v>4.4877354546588588E-2</v>
      </c>
      <c r="Z28" s="7">
        <f>+POWER(X28/S28,0.2)-1</f>
        <v>-6.7461758763026625E-3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40.022500000000001</v>
      </c>
      <c r="K29" s="37"/>
      <c r="L29" s="7"/>
      <c r="M29" s="2"/>
      <c r="N29" s="42" t="s">
        <v>2</v>
      </c>
      <c r="O29" s="6">
        <f>+'[2]2.CONSUMO ARGENTINA POR ENVASE'!$C745/10000</f>
        <v>501.5495777777777</v>
      </c>
      <c r="P29" s="6">
        <f t="shared" ref="P29:V29" si="42">+SUM(C25:C29)+SUM(B30:B36)</f>
        <v>493.44589999999999</v>
      </c>
      <c r="Q29" s="6">
        <f t="shared" si="42"/>
        <v>489.04259999999999</v>
      </c>
      <c r="R29" s="6">
        <f t="shared" si="42"/>
        <v>473.26440000000002</v>
      </c>
      <c r="S29" s="6">
        <f t="shared" si="42"/>
        <v>515.06629999999996</v>
      </c>
      <c r="T29" s="6">
        <f t="shared" si="42"/>
        <v>554.66430000000003</v>
      </c>
      <c r="U29" s="6">
        <f t="shared" si="42"/>
        <v>513.38840000000005</v>
      </c>
      <c r="V29" s="67">
        <f t="shared" si="42"/>
        <v>496.99290000000002</v>
      </c>
      <c r="W29" s="37">
        <f t="shared" ref="W29" si="43">+SUM(J25:J29)+SUM(I30:I36)</f>
        <v>475.62189999999998</v>
      </c>
      <c r="X29" s="37"/>
      <c r="Y29" s="78"/>
      <c r="Z29" s="7"/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/>
      <c r="L30" s="7"/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44">+SUM(C25:C30)+SUM(B31:B36)</f>
        <v>498.35329999999999</v>
      </c>
      <c r="Q30" s="6">
        <f t="shared" si="44"/>
        <v>485.44639999999998</v>
      </c>
      <c r="R30" s="6">
        <f t="shared" si="44"/>
        <v>470.36839999999995</v>
      </c>
      <c r="S30" s="6">
        <f t="shared" si="44"/>
        <v>532.83370000000002</v>
      </c>
      <c r="T30" s="6">
        <f t="shared" si="44"/>
        <v>545.52230000000009</v>
      </c>
      <c r="U30" s="6">
        <f t="shared" si="44"/>
        <v>509.57629999999995</v>
      </c>
      <c r="V30" s="67">
        <f t="shared" si="44"/>
        <v>490.96979999999996</v>
      </c>
      <c r="W30" s="37">
        <f t="shared" ref="W30" si="45">+SUM(J25:J30)+SUM(I31:I36)</f>
        <v>472.27340000000004</v>
      </c>
      <c r="X30" s="37"/>
      <c r="Y30" s="78"/>
      <c r="Z30" s="7"/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/>
      <c r="L31" s="7"/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46">+SUM(C25:C31)+SUM(B32:B36)</f>
        <v>501.65679999999998</v>
      </c>
      <c r="Q31" s="6">
        <f t="shared" si="46"/>
        <v>482.05859999999996</v>
      </c>
      <c r="R31" s="6">
        <f t="shared" si="46"/>
        <v>472.05199999999996</v>
      </c>
      <c r="S31" s="6">
        <f t="shared" si="46"/>
        <v>547.31600000000003</v>
      </c>
      <c r="T31" s="6">
        <f t="shared" si="46"/>
        <v>532.44780000000014</v>
      </c>
      <c r="U31" s="6">
        <f t="shared" si="46"/>
        <v>511.10449999999997</v>
      </c>
      <c r="V31" s="67">
        <f t="shared" si="46"/>
        <v>484.91819999999996</v>
      </c>
      <c r="W31" s="37">
        <f t="shared" ref="W31" si="47">+SUM(J25:J31)+SUM(I32:I36)</f>
        <v>480.97199999999998</v>
      </c>
      <c r="X31" s="37"/>
      <c r="Y31" s="78"/>
      <c r="Z31" s="7"/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/>
      <c r="L32" s="7"/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48">+SUM(C25:C32)+SUM(B33:B36)</f>
        <v>495.9273</v>
      </c>
      <c r="Q32" s="6">
        <f t="shared" si="48"/>
        <v>479.0163</v>
      </c>
      <c r="R32" s="6">
        <f t="shared" si="48"/>
        <v>473.77620000000002</v>
      </c>
      <c r="S32" s="6">
        <f t="shared" si="48"/>
        <v>553.44550000000004</v>
      </c>
      <c r="T32" s="6">
        <f t="shared" si="48"/>
        <v>528.29840000000013</v>
      </c>
      <c r="U32" s="6">
        <f t="shared" si="48"/>
        <v>516.76059999999995</v>
      </c>
      <c r="V32" s="67">
        <f t="shared" si="48"/>
        <v>478.95569999999998</v>
      </c>
      <c r="W32" s="37">
        <f t="shared" ref="W32" si="49">+SUM(J25:J32)+SUM(I33:I36)</f>
        <v>486.85159999999996</v>
      </c>
      <c r="X32" s="37"/>
      <c r="Y32" s="78"/>
      <c r="Z32" s="7"/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/>
      <c r="L33" s="7"/>
      <c r="M33" s="2"/>
      <c r="N33" s="42" t="s">
        <v>6</v>
      </c>
      <c r="O33" s="6">
        <f>+'[2]2.CONSUMO ARGENTINA POR ENVASE'!$C749/10000</f>
        <v>583.21811111111106</v>
      </c>
      <c r="P33" s="6">
        <f t="shared" ref="P33:W33" si="50">+SUM(C25:C33)+SUM(B34:B36)</f>
        <v>489.87059999999997</v>
      </c>
      <c r="Q33" s="6">
        <f t="shared" si="50"/>
        <v>477.08619999999996</v>
      </c>
      <c r="R33" s="6">
        <f t="shared" si="50"/>
        <v>479.21860000000004</v>
      </c>
      <c r="S33" s="6">
        <f t="shared" si="50"/>
        <v>559.33670000000006</v>
      </c>
      <c r="T33" s="6">
        <f t="shared" si="50"/>
        <v>518.5517000000001</v>
      </c>
      <c r="U33" s="6">
        <f t="shared" si="50"/>
        <v>520.45219999999995</v>
      </c>
      <c r="V33" s="67">
        <f t="shared" si="50"/>
        <v>474.78859999999997</v>
      </c>
      <c r="W33" s="37">
        <f t="shared" si="50"/>
        <v>488.13170000000002</v>
      </c>
      <c r="X33" s="37"/>
      <c r="Y33" s="78"/>
      <c r="Z33" s="7"/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51">+SUM(C25:C34)+SUM(B35:B36)</f>
        <v>489.24339999999995</v>
      </c>
      <c r="Q34" s="6">
        <f t="shared" si="51"/>
        <v>473.6112</v>
      </c>
      <c r="R34" s="6">
        <f t="shared" si="51"/>
        <v>485.41849999999999</v>
      </c>
      <c r="S34" s="6">
        <f t="shared" si="51"/>
        <v>560.90949999999998</v>
      </c>
      <c r="T34" s="6">
        <f t="shared" si="51"/>
        <v>505.67310000000009</v>
      </c>
      <c r="U34" s="6">
        <f t="shared" si="51"/>
        <v>530.55409999999995</v>
      </c>
      <c r="V34" s="67">
        <f t="shared" si="51"/>
        <v>475.90300000000002</v>
      </c>
      <c r="W34" s="37">
        <f t="shared" si="51"/>
        <v>482.02570000000003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52">+SUM(C25:C35)+SUM(B36)</f>
        <v>492.23439999999994</v>
      </c>
      <c r="Q35" s="6">
        <f t="shared" si="52"/>
        <v>466.19470000000001</v>
      </c>
      <c r="R35" s="6">
        <f t="shared" si="52"/>
        <v>493.9255</v>
      </c>
      <c r="S35" s="6">
        <f t="shared" si="52"/>
        <v>561.17220000000009</v>
      </c>
      <c r="T35" s="6">
        <f t="shared" si="52"/>
        <v>503.30410000000012</v>
      </c>
      <c r="U35" s="6">
        <f t="shared" si="52"/>
        <v>529.46349999999995</v>
      </c>
      <c r="V35" s="67">
        <f t="shared" si="52"/>
        <v>476.27730000000003</v>
      </c>
      <c r="W35" s="37">
        <f t="shared" ref="W35" si="53">+SUM(J25:J35)+SUM(I36)</f>
        <v>484.04540000000003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54">+SUM(C25:C36)</f>
        <v>489.54019999999997</v>
      </c>
      <c r="Q36" s="6">
        <f t="shared" si="54"/>
        <v>466.15539999999999</v>
      </c>
      <c r="R36" s="6">
        <f t="shared" si="54"/>
        <v>501.85180000000003</v>
      </c>
      <c r="S36" s="6">
        <f t="shared" si="54"/>
        <v>562.68240000000003</v>
      </c>
      <c r="T36" s="6">
        <f t="shared" si="54"/>
        <v>501.89880000000011</v>
      </c>
      <c r="U36" s="6">
        <f t="shared" si="54"/>
        <v>520.11109999999996</v>
      </c>
      <c r="V36" s="67">
        <f t="shared" si="54"/>
        <v>480.64060000000001</v>
      </c>
      <c r="W36" s="37">
        <f t="shared" ref="W36" si="55">+SUM(J25:J36)</f>
        <v>481.57390000000004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56">SUM(G25:G36)</f>
        <v>501.89880000000011</v>
      </c>
      <c r="H37" s="54">
        <f t="shared" si="56"/>
        <v>520.11109999999996</v>
      </c>
      <c r="I37" s="54">
        <f t="shared" ref="I37:J37" si="57">SUM(I25:I36)</f>
        <v>480.64060000000001</v>
      </c>
      <c r="J37" s="186">
        <f t="shared" si="57"/>
        <v>481.57390000000004</v>
      </c>
      <c r="K37" s="186"/>
      <c r="L37" s="165"/>
      <c r="M37" s="3"/>
      <c r="N37" s="43" t="s">
        <v>14</v>
      </c>
      <c r="O37" s="46">
        <f t="shared" ref="O37:V37" si="58">+AVERAGE(O25:O36)</f>
        <v>517.27672222222213</v>
      </c>
      <c r="P37" s="46">
        <f t="shared" si="58"/>
        <v>496.88609166666669</v>
      </c>
      <c r="Q37" s="46">
        <f t="shared" si="58"/>
        <v>482.13429999999994</v>
      </c>
      <c r="R37" s="46">
        <f t="shared" si="58"/>
        <v>476.79443333333342</v>
      </c>
      <c r="S37" s="46">
        <f t="shared" si="58"/>
        <v>536.29927499999997</v>
      </c>
      <c r="T37" s="46">
        <f t="shared" si="58"/>
        <v>537.14746666666667</v>
      </c>
      <c r="U37" s="226">
        <f t="shared" si="58"/>
        <v>513.47204999999997</v>
      </c>
      <c r="V37" s="220">
        <f t="shared" si="58"/>
        <v>491.56360833333332</v>
      </c>
      <c r="W37" s="197">
        <f t="shared" ref="W37:X37" si="59">+AVERAGE(W25:W36)</f>
        <v>479.75558333333333</v>
      </c>
      <c r="X37" s="197">
        <f t="shared" si="59"/>
        <v>489.51645000000002</v>
      </c>
      <c r="Y37" s="79"/>
      <c r="Z37" s="75"/>
    </row>
    <row r="38" spans="1:29" ht="25.5" x14ac:dyDescent="0.25">
      <c r="A38" s="57" t="s">
        <v>15</v>
      </c>
      <c r="B38" s="195">
        <f t="shared" ref="B38:H38" si="60">+B37/B$91</f>
        <v>0.54870045601388218</v>
      </c>
      <c r="C38" s="58">
        <f t="shared" si="60"/>
        <v>0.54850258206414992</v>
      </c>
      <c r="D38" s="58">
        <f t="shared" si="60"/>
        <v>0.5552099024049606</v>
      </c>
      <c r="E38" s="58">
        <f t="shared" si="60"/>
        <v>0.56689808285549792</v>
      </c>
      <c r="F38" s="58">
        <f t="shared" si="60"/>
        <v>0.59671559668441843</v>
      </c>
      <c r="G38" s="58">
        <f t="shared" si="60"/>
        <v>0.59885640703910326</v>
      </c>
      <c r="H38" s="58">
        <f t="shared" si="60"/>
        <v>0.62844966311418737</v>
      </c>
      <c r="I38" s="58">
        <f t="shared" ref="I38:J38" si="61">+I37/I$91</f>
        <v>0.6199732683297815</v>
      </c>
      <c r="J38" s="189">
        <f t="shared" si="61"/>
        <v>0.63150367907087934</v>
      </c>
      <c r="K38" s="189"/>
      <c r="L38" s="59"/>
      <c r="M38" s="3"/>
      <c r="N38" s="44" t="s">
        <v>15</v>
      </c>
      <c r="O38" s="48">
        <f t="shared" ref="O38:V38" si="62">+O37/O$91</f>
        <v>0.54402182230562968</v>
      </c>
      <c r="P38" s="48">
        <f t="shared" si="62"/>
        <v>0.54471149790555007</v>
      </c>
      <c r="Q38" s="48">
        <f t="shared" si="62"/>
        <v>0.55399936545291162</v>
      </c>
      <c r="R38" s="48">
        <f t="shared" si="62"/>
        <v>0.55791112111528307</v>
      </c>
      <c r="S38" s="48">
        <f t="shared" si="62"/>
        <v>0.58380035640934758</v>
      </c>
      <c r="T38" s="48">
        <f t="shared" si="62"/>
        <v>0.60790013226402972</v>
      </c>
      <c r="U38" s="58">
        <f t="shared" si="62"/>
        <v>0.60943706205515757</v>
      </c>
      <c r="V38" s="189">
        <f t="shared" si="62"/>
        <v>0.62250970822741591</v>
      </c>
      <c r="W38" s="188">
        <f t="shared" ref="W38:X38" si="63">+W37/W$91</f>
        <v>0.62653650610349654</v>
      </c>
      <c r="X38" s="188">
        <f t="shared" si="63"/>
        <v>0.63451475314467953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64">+D37/C37-1</f>
        <v>-4.7768906414631496E-2</v>
      </c>
      <c r="E39" s="62">
        <f t="shared" si="64"/>
        <v>7.6576180389629878E-2</v>
      </c>
      <c r="F39" s="62">
        <f t="shared" si="64"/>
        <v>0.12121227820643465</v>
      </c>
      <c r="G39" s="62">
        <f t="shared" si="64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1.9417835280666207E-3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65">+Q37/P37-1</f>
        <v>-2.9688477729746809E-2</v>
      </c>
      <c r="R39" s="50">
        <f t="shared" si="65"/>
        <v>-1.1075475581526772E-2</v>
      </c>
      <c r="S39" s="50">
        <f t="shared" si="65"/>
        <v>0.12480188002754211</v>
      </c>
      <c r="T39" s="50">
        <f t="shared" ref="T39" si="66">+T37/S37-1</f>
        <v>1.5815640747727233E-3</v>
      </c>
      <c r="U39" s="62">
        <f t="shared" ref="U39:X39" si="67">+U37/T37-1</f>
        <v>-4.4076195339032953E-2</v>
      </c>
      <c r="V39" s="190">
        <f t="shared" si="67"/>
        <v>-4.266725261222426E-2</v>
      </c>
      <c r="W39" s="187">
        <f t="shared" si="67"/>
        <v>-2.4021357154642931E-2</v>
      </c>
      <c r="X39" s="187">
        <f t="shared" si="67"/>
        <v>2.0345498845158572E-2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25" t="s">
        <v>238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M41" s="2"/>
      <c r="N41" s="325" t="s">
        <v>239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68">+C42+1</f>
        <v>2018</v>
      </c>
      <c r="E42" s="39">
        <f t="shared" si="68"/>
        <v>2019</v>
      </c>
      <c r="F42" s="39">
        <f t="shared" si="68"/>
        <v>2020</v>
      </c>
      <c r="G42" s="39">
        <f t="shared" si="68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69">+P42+1</f>
        <v>2018</v>
      </c>
      <c r="R42" s="64">
        <f t="shared" si="69"/>
        <v>2019</v>
      </c>
      <c r="S42" s="64">
        <f t="shared" si="69"/>
        <v>2020</v>
      </c>
      <c r="T42" s="64">
        <f t="shared" ref="T42" si="70">+S42+1</f>
        <v>2021</v>
      </c>
      <c r="U42" s="39">
        <v>2022</v>
      </c>
      <c r="V42" s="192">
        <v>2023</v>
      </c>
      <c r="W42" s="40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71">+SUM(C43)+SUM(B44:B54)</f>
        <v>380.05257700000004</v>
      </c>
      <c r="Q43" s="6">
        <f t="shared" si="71"/>
        <v>365.6728</v>
      </c>
      <c r="R43" s="6">
        <f t="shared" si="71"/>
        <v>338.7944</v>
      </c>
      <c r="S43" s="6">
        <f t="shared" si="71"/>
        <v>354.13509999999991</v>
      </c>
      <c r="T43" s="6">
        <f t="shared" si="71"/>
        <v>335.41280000000006</v>
      </c>
      <c r="U43" s="6">
        <f t="shared" si="71"/>
        <v>296.64589999999998</v>
      </c>
      <c r="V43" s="67">
        <f t="shared" si="71"/>
        <v>272.66809999999998</v>
      </c>
      <c r="W43" s="37">
        <f t="shared" si="71"/>
        <v>261.81270000000001</v>
      </c>
      <c r="X43" s="37">
        <f t="shared" si="71"/>
        <v>255.86980000000003</v>
      </c>
      <c r="Y43" s="78">
        <f>+X43/W43-1</f>
        <v>-2.2699051650282742E-2</v>
      </c>
      <c r="Z43" s="7">
        <f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>+K44/J44-1</f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72">+SUM(C43:C44)+SUM(B45:B54)</f>
        <v>378.66173500000002</v>
      </c>
      <c r="Q44" s="6">
        <f t="shared" si="72"/>
        <v>361.61709999999999</v>
      </c>
      <c r="R44" s="6">
        <f t="shared" si="72"/>
        <v>342.3827</v>
      </c>
      <c r="S44" s="6">
        <f t="shared" si="72"/>
        <v>353.48719999999997</v>
      </c>
      <c r="T44" s="6">
        <f t="shared" si="72"/>
        <v>329.83659999999998</v>
      </c>
      <c r="U44" s="6">
        <f t="shared" si="72"/>
        <v>295.15989999999999</v>
      </c>
      <c r="V44" s="67">
        <f t="shared" ref="V44" si="73">+SUM(I43:I44)+SUM(H45:H54)</f>
        <v>269.81299999999999</v>
      </c>
      <c r="W44" s="37">
        <f t="shared" ref="W44" si="74">+SUM(J43:J44)+SUM(I45:I54)</f>
        <v>262.74810000000002</v>
      </c>
      <c r="X44" s="37">
        <f t="shared" ref="X44" si="75">+SUM(K43:K44)+SUM(J45:J54)</f>
        <v>257.6053</v>
      </c>
      <c r="Y44" s="78">
        <f>+X44/W44-1</f>
        <v>-1.9573119653386706E-2</v>
      </c>
      <c r="Z44" s="7">
        <f>+POWER(X44/S44,0.2)-1</f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>+K45/J45-1</f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76">+SUM(C43:C45)+SUM(B46:B54)</f>
        <v>375.50403499999999</v>
      </c>
      <c r="Q45" s="6">
        <f t="shared" si="76"/>
        <v>363.18980000000005</v>
      </c>
      <c r="R45" s="6">
        <f t="shared" si="76"/>
        <v>342.35559999999998</v>
      </c>
      <c r="S45" s="6">
        <f t="shared" si="76"/>
        <v>350.23730000000006</v>
      </c>
      <c r="T45" s="6">
        <f t="shared" si="76"/>
        <v>321.91239999999999</v>
      </c>
      <c r="U45" s="6">
        <f t="shared" si="76"/>
        <v>302.58070000000004</v>
      </c>
      <c r="V45" s="67">
        <f t="shared" si="76"/>
        <v>263.41490000000005</v>
      </c>
      <c r="W45" s="37">
        <f t="shared" ref="W45" si="77">+SUM(J43:J45)+SUM(I46:I54)</f>
        <v>262.92470000000003</v>
      </c>
      <c r="X45" s="37">
        <f t="shared" ref="X45" si="78">+SUM(K43:K45)+SUM(J46:J54)</f>
        <v>255.858</v>
      </c>
      <c r="Y45" s="78">
        <f>+X45/W45-1</f>
        <v>-2.6877277030267654E-2</v>
      </c>
      <c r="Z45" s="7">
        <f>+POWER(X45/S45,0.2)-1</f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>+K46/J46-1</f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79">+SUM(C43:C46)+SUM(B47:B54)</f>
        <v>369.95531900000003</v>
      </c>
      <c r="Q46" s="6">
        <f t="shared" si="79"/>
        <v>361.57220000000001</v>
      </c>
      <c r="R46" s="6">
        <f t="shared" si="79"/>
        <v>343.5489</v>
      </c>
      <c r="S46" s="6">
        <f t="shared" si="79"/>
        <v>351.08580000000006</v>
      </c>
      <c r="T46" s="6">
        <f t="shared" si="79"/>
        <v>314.8811</v>
      </c>
      <c r="U46" s="6">
        <f t="shared" si="79"/>
        <v>300.81490000000002</v>
      </c>
      <c r="V46" s="67">
        <f t="shared" si="79"/>
        <v>266.88830000000002</v>
      </c>
      <c r="W46" s="37">
        <f t="shared" ref="W46" si="80">+SUM(J43:J46)+SUM(I47:I54)</f>
        <v>258.18740000000003</v>
      </c>
      <c r="X46" s="37">
        <f t="shared" ref="X46" si="81">+SUM(K43:K46)+SUM(J47:J54)</f>
        <v>254.43049999999999</v>
      </c>
      <c r="Y46" s="78">
        <f>+X46/W46-1</f>
        <v>-1.4551058649647675E-2</v>
      </c>
      <c r="Z46" s="7">
        <f>+POWER(X46/S46,0.2)-1</f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/>
      <c r="L47" s="7"/>
      <c r="M47" s="2"/>
      <c r="N47" s="42" t="s">
        <v>2</v>
      </c>
      <c r="O47" s="6">
        <f>+'[2]2.CONSUMO ARGENTINA POR ENVASE'!D745/10000</f>
        <v>403.54444444444442</v>
      </c>
      <c r="P47" s="6">
        <f t="shared" ref="P47:V47" si="82">+SUM(C43:C47)+SUM(B48:B54)</f>
        <v>376.27509199999997</v>
      </c>
      <c r="Q47" s="6">
        <f t="shared" si="82"/>
        <v>358.21130000000005</v>
      </c>
      <c r="R47" s="6">
        <f t="shared" si="82"/>
        <v>342.2183</v>
      </c>
      <c r="S47" s="6">
        <f t="shared" si="82"/>
        <v>347.13610000000006</v>
      </c>
      <c r="T47" s="6">
        <f t="shared" si="82"/>
        <v>306.01940000000002</v>
      </c>
      <c r="U47" s="6">
        <f t="shared" si="82"/>
        <v>301.72719999999998</v>
      </c>
      <c r="V47" s="67">
        <f t="shared" si="82"/>
        <v>265.46640000000002</v>
      </c>
      <c r="W47" s="37">
        <f t="shared" ref="W47" si="83">+SUM(J43:J47)+SUM(I48:I54)</f>
        <v>262.39640000000003</v>
      </c>
      <c r="X47" s="37"/>
      <c r="Y47" s="78"/>
      <c r="Z47" s="7"/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/>
      <c r="L48" s="7"/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84">+SUM(C43:C48)+SUM(B49:B54)</f>
        <v>381.14921300000003</v>
      </c>
      <c r="Q48" s="6">
        <f t="shared" si="84"/>
        <v>355.0498</v>
      </c>
      <c r="R48" s="6">
        <f t="shared" si="84"/>
        <v>340.18439999999998</v>
      </c>
      <c r="S48" s="6">
        <f t="shared" si="84"/>
        <v>346.4375</v>
      </c>
      <c r="T48" s="6">
        <f t="shared" si="84"/>
        <v>306.17959999999999</v>
      </c>
      <c r="U48" s="6">
        <f t="shared" si="84"/>
        <v>295.24200000000002</v>
      </c>
      <c r="V48" s="67">
        <f t="shared" si="84"/>
        <v>264.1225</v>
      </c>
      <c r="W48" s="37">
        <f t="shared" ref="W48" si="85">+SUM(J43:J48)+SUM(I49:I54)</f>
        <v>261.44889999999998</v>
      </c>
      <c r="X48" s="37"/>
      <c r="Y48" s="78"/>
      <c r="Z48" s="7"/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/>
      <c r="L49" s="7"/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86">+SUM(C43:C49)+SUM(B50:B54)</f>
        <v>380.151613</v>
      </c>
      <c r="Q49" s="6">
        <f t="shared" si="86"/>
        <v>352.88419999999996</v>
      </c>
      <c r="R49" s="6">
        <f t="shared" si="86"/>
        <v>342.8655</v>
      </c>
      <c r="S49" s="6">
        <f t="shared" si="86"/>
        <v>349.04300000000001</v>
      </c>
      <c r="T49" s="6">
        <f t="shared" si="86"/>
        <v>299.30529999999999</v>
      </c>
      <c r="U49" s="6">
        <f t="shared" si="86"/>
        <v>294.77940000000001</v>
      </c>
      <c r="V49" s="67">
        <f t="shared" si="86"/>
        <v>262.61739999999998</v>
      </c>
      <c r="W49" s="37">
        <f t="shared" ref="W49" si="87">+SUM(J43:J49)+SUM(I50:I54)</f>
        <v>256.92700000000002</v>
      </c>
      <c r="X49" s="37"/>
      <c r="Y49" s="78"/>
      <c r="Z49" s="7"/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/>
      <c r="L50" s="7"/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88">+SUM(C43:C50)+SUM(B51:B54)</f>
        <v>379.76059500000008</v>
      </c>
      <c r="Q50" s="6">
        <f t="shared" si="88"/>
        <v>351.58960000000002</v>
      </c>
      <c r="R50" s="6">
        <f t="shared" si="88"/>
        <v>346.92369999999994</v>
      </c>
      <c r="S50" s="6">
        <f t="shared" si="88"/>
        <v>343.75700000000001</v>
      </c>
      <c r="T50" s="6">
        <f t="shared" si="88"/>
        <v>297.2534</v>
      </c>
      <c r="U50" s="6">
        <f t="shared" si="88"/>
        <v>293.87369999999999</v>
      </c>
      <c r="V50" s="67">
        <f t="shared" si="88"/>
        <v>261.9588</v>
      </c>
      <c r="W50" s="37">
        <f t="shared" ref="W50" si="89">+SUM(J43:J50)+SUM(I51:I54)</f>
        <v>255.96940000000001</v>
      </c>
      <c r="X50" s="37"/>
      <c r="Y50" s="78"/>
      <c r="Z50" s="7"/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/>
      <c r="L51" s="7"/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90">+SUM(C43:C51)+SUM(B52:B54)</f>
        <v>378.72918300000003</v>
      </c>
      <c r="Q51" s="6">
        <f t="shared" si="90"/>
        <v>343.01550000000003</v>
      </c>
      <c r="R51" s="6">
        <f t="shared" si="90"/>
        <v>348.28969999999998</v>
      </c>
      <c r="S51" s="6">
        <f t="shared" si="90"/>
        <v>344.86130000000003</v>
      </c>
      <c r="T51" s="6">
        <f t="shared" si="90"/>
        <v>293.4101</v>
      </c>
      <c r="U51" s="6">
        <f t="shared" si="90"/>
        <v>294.7998</v>
      </c>
      <c r="V51" s="67">
        <f t="shared" si="90"/>
        <v>260.4744</v>
      </c>
      <c r="W51" s="37">
        <f t="shared" ref="W51" si="91">+SUM(J43:J51)+SUM(I52:I54)</f>
        <v>254.37009999999998</v>
      </c>
      <c r="X51" s="37"/>
      <c r="Y51" s="78"/>
      <c r="Z51" s="7"/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92">+SUM(C43:C52)+SUM(B53:B54)</f>
        <v>374.98060000000004</v>
      </c>
      <c r="Q52" s="6">
        <f t="shared" si="92"/>
        <v>339.03900000000004</v>
      </c>
      <c r="R52" s="6">
        <f t="shared" si="92"/>
        <v>354.04819999999995</v>
      </c>
      <c r="S52" s="6">
        <f t="shared" si="92"/>
        <v>343.58170000000007</v>
      </c>
      <c r="T52" s="6">
        <f t="shared" si="92"/>
        <v>292.24950000000001</v>
      </c>
      <c r="U52" s="6">
        <f t="shared" si="92"/>
        <v>292.03379999999999</v>
      </c>
      <c r="V52" s="67">
        <f t="shared" si="92"/>
        <v>260.786</v>
      </c>
      <c r="W52" s="37">
        <f t="shared" si="92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93">+SUM(C43:C53)+SUM(B54)</f>
        <v>370.19970000000001</v>
      </c>
      <c r="Q53" s="6">
        <f t="shared" si="93"/>
        <v>337.03790000000004</v>
      </c>
      <c r="R53" s="6">
        <f t="shared" si="93"/>
        <v>355.23769999999996</v>
      </c>
      <c r="S53" s="6">
        <f t="shared" si="93"/>
        <v>341.02250000000004</v>
      </c>
      <c r="T53" s="6">
        <f t="shared" si="93"/>
        <v>297.76000000000005</v>
      </c>
      <c r="U53" s="6">
        <f t="shared" si="93"/>
        <v>281.21769999999998</v>
      </c>
      <c r="V53" s="67">
        <f t="shared" si="93"/>
        <v>264.0813</v>
      </c>
      <c r="W53" s="37">
        <f t="shared" ref="W53" si="94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95">+SUM(C43:C54)</f>
        <v>365.40129999999999</v>
      </c>
      <c r="Q54" s="6">
        <f t="shared" si="95"/>
        <v>339.69560000000007</v>
      </c>
      <c r="R54" s="6">
        <f t="shared" si="95"/>
        <v>351.64679999999993</v>
      </c>
      <c r="S54" s="6">
        <f t="shared" si="95"/>
        <v>340.65980000000008</v>
      </c>
      <c r="T54" s="6">
        <f t="shared" si="95"/>
        <v>298.9735</v>
      </c>
      <c r="U54" s="6">
        <f t="shared" si="95"/>
        <v>274.33339999999998</v>
      </c>
      <c r="V54" s="67">
        <f t="shared" si="95"/>
        <v>262.85230000000001</v>
      </c>
      <c r="W54" s="37">
        <f t="shared" ref="W54" si="96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97">SUM(C43:C54)</f>
        <v>365.40129999999999</v>
      </c>
      <c r="D55" s="54">
        <f t="shared" si="97"/>
        <v>339.69560000000007</v>
      </c>
      <c r="E55" s="54">
        <f t="shared" si="97"/>
        <v>351.64679999999993</v>
      </c>
      <c r="F55" s="54">
        <f t="shared" si="97"/>
        <v>340.65980000000008</v>
      </c>
      <c r="G55" s="54">
        <f t="shared" si="97"/>
        <v>298.9735</v>
      </c>
      <c r="H55" s="54">
        <f t="shared" si="97"/>
        <v>274.33339999999998</v>
      </c>
      <c r="I55" s="54">
        <f t="shared" ref="I55:J55" si="98">SUM(I43:I54)</f>
        <v>262.85230000000001</v>
      </c>
      <c r="J55" s="186">
        <f t="shared" si="98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99">+AVERAGE(Q43:Q54)</f>
        <v>352.38123333333334</v>
      </c>
      <c r="R55" s="46">
        <f t="shared" si="99"/>
        <v>345.70799166666666</v>
      </c>
      <c r="S55" s="46">
        <f t="shared" si="99"/>
        <v>347.1203583333334</v>
      </c>
      <c r="T55" s="46">
        <f t="shared" si="99"/>
        <v>307.76614166666667</v>
      </c>
      <c r="U55" s="226">
        <f t="shared" si="99"/>
        <v>293.60070000000007</v>
      </c>
      <c r="V55" s="220">
        <f t="shared" si="99"/>
        <v>264.59528333333333</v>
      </c>
      <c r="W55" s="197">
        <f t="shared" ref="W55:X55" si="100">+AVERAGE(W43:W54)</f>
        <v>258.22455833333333</v>
      </c>
      <c r="X55" s="197">
        <f t="shared" si="100"/>
        <v>255.9409</v>
      </c>
      <c r="Y55" s="79"/>
      <c r="Z55" s="75"/>
    </row>
    <row r="56" spans="1:26" ht="25.5" x14ac:dyDescent="0.25">
      <c r="A56" s="57" t="s">
        <v>15</v>
      </c>
      <c r="B56" s="195">
        <f t="shared" ref="B56:H56" si="101">+B55/B$91</f>
        <v>0.40829982753457278</v>
      </c>
      <c r="C56" s="58">
        <f t="shared" si="101"/>
        <v>0.40941184511424616</v>
      </c>
      <c r="D56" s="58">
        <f t="shared" si="101"/>
        <v>0.40459117479577533</v>
      </c>
      <c r="E56" s="58">
        <f t="shared" si="101"/>
        <v>0.39722463237607325</v>
      </c>
      <c r="F56" s="58">
        <f t="shared" si="101"/>
        <v>0.36126421552085985</v>
      </c>
      <c r="G56" s="58">
        <f t="shared" si="101"/>
        <v>0.35672967540449452</v>
      </c>
      <c r="H56" s="58">
        <f t="shared" si="101"/>
        <v>0.3314767418172187</v>
      </c>
      <c r="I56" s="58">
        <f t="shared" ref="I56:J56" si="102">+I55/I$91</f>
        <v>0.33905042461872809</v>
      </c>
      <c r="J56" s="189">
        <f t="shared" si="102"/>
        <v>0.33457202316009482</v>
      </c>
      <c r="K56" s="189"/>
      <c r="L56" s="59"/>
      <c r="M56" s="3"/>
      <c r="N56" s="44" t="s">
        <v>15</v>
      </c>
      <c r="O56" s="48">
        <f t="shared" ref="O56:V56" si="103">+O55/O$91</f>
        <v>0.41459561838441888</v>
      </c>
      <c r="P56" s="48">
        <f t="shared" si="103"/>
        <v>0.41208238068426084</v>
      </c>
      <c r="Q56" s="48">
        <f t="shared" si="103"/>
        <v>0.40490581081698834</v>
      </c>
      <c r="R56" s="48">
        <f t="shared" si="103"/>
        <v>0.40452303912370113</v>
      </c>
      <c r="S56" s="48">
        <f t="shared" si="103"/>
        <v>0.37786549107667633</v>
      </c>
      <c r="T56" s="48">
        <f t="shared" si="103"/>
        <v>0.34830486939940908</v>
      </c>
      <c r="U56" s="58">
        <f t="shared" si="103"/>
        <v>0.34847300456828717</v>
      </c>
      <c r="V56" s="189">
        <f t="shared" si="103"/>
        <v>0.33507999744865252</v>
      </c>
      <c r="W56" s="188">
        <f t="shared" ref="W56:X56" si="104">+W55/W$91</f>
        <v>0.33722820158588085</v>
      </c>
      <c r="X56" s="188">
        <f t="shared" si="104"/>
        <v>0.33175244056277803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05">+D55/C55-1</f>
        <v>-7.0349229737277641E-2</v>
      </c>
      <c r="E57" s="62">
        <f t="shared" si="105"/>
        <v>3.518208655042887E-2</v>
      </c>
      <c r="F57" s="62">
        <f t="shared" si="105"/>
        <v>-3.1244419115998956E-2</v>
      </c>
      <c r="G57" s="62">
        <f t="shared" si="105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06">+Q55/P55-1</f>
        <v>-6.2570907685694954E-2</v>
      </c>
      <c r="R57" s="50">
        <f t="shared" si="106"/>
        <v>-1.8937562603835278E-2</v>
      </c>
      <c r="S57" s="50">
        <f t="shared" si="106"/>
        <v>4.0854325057910756E-3</v>
      </c>
      <c r="T57" s="50">
        <f t="shared" ref="T57" si="107">+T55/S55-1</f>
        <v>-0.11337340412882257</v>
      </c>
      <c r="U57" s="62">
        <f t="shared" ref="U57:X57" si="108">+U55/T55-1</f>
        <v>-4.602664084475161E-2</v>
      </c>
      <c r="V57" s="190">
        <f t="shared" si="108"/>
        <v>-9.8792055559359104E-2</v>
      </c>
      <c r="W57" s="187">
        <f t="shared" si="108"/>
        <v>-2.4077243251438674E-2</v>
      </c>
      <c r="X57" s="187">
        <f t="shared" si="108"/>
        <v>-8.8436915066205657E-3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25" t="s">
        <v>274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7"/>
      <c r="M59" s="2"/>
      <c r="N59" s="325" t="s">
        <v>240</v>
      </c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7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09">+C60+1</f>
        <v>2018</v>
      </c>
      <c r="E60" s="39">
        <f t="shared" si="109"/>
        <v>2019</v>
      </c>
      <c r="F60" s="39">
        <f t="shared" si="109"/>
        <v>2020</v>
      </c>
      <c r="G60" s="39">
        <f t="shared" si="109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10">+P60+1</f>
        <v>2018</v>
      </c>
      <c r="R60" s="64">
        <f t="shared" si="110"/>
        <v>2019</v>
      </c>
      <c r="S60" s="64">
        <f t="shared" si="110"/>
        <v>2020</v>
      </c>
      <c r="T60" s="64">
        <f t="shared" ref="T60" si="111">+S60+1</f>
        <v>2021</v>
      </c>
      <c r="U60" s="39">
        <v>2022</v>
      </c>
      <c r="V60" s="192">
        <v>2023</v>
      </c>
      <c r="W60" s="40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36">
        <f>+B79-B43-B25-B7</f>
        <v>0.15294400000000374</v>
      </c>
      <c r="C61" s="6">
        <f t="shared" ref="C61:J72" si="112">+C79-C43-C25-C7</f>
        <v>9.4199999999997175E-2</v>
      </c>
      <c r="D61" s="6">
        <f t="shared" si="112"/>
        <v>5.4599999999994875E-2</v>
      </c>
      <c r="E61" s="6">
        <f>+(D61+F61)/2</f>
        <v>0.19689999999999963</v>
      </c>
      <c r="F61" s="6">
        <f t="shared" si="112"/>
        <v>0.33920000000000439</v>
      </c>
      <c r="G61" s="6">
        <f t="shared" si="112"/>
        <v>0.29889999999999617</v>
      </c>
      <c r="H61" s="6">
        <f t="shared" si="112"/>
        <v>9.1800000000000104E-2</v>
      </c>
      <c r="I61" s="6">
        <f t="shared" si="112"/>
        <v>0.27959999999999896</v>
      </c>
      <c r="J61" s="67">
        <f t="shared" si="112"/>
        <v>0.12589999999999812</v>
      </c>
      <c r="K61" s="37">
        <f t="shared" ref="K61:K64" si="113">+K79-K43-K25-K7</f>
        <v>0.41199999999999259</v>
      </c>
      <c r="L61" s="7">
        <f>+K61/J61-1</f>
        <v>2.2724384432088858</v>
      </c>
      <c r="M61" s="2"/>
      <c r="N61" s="42" t="s">
        <v>10</v>
      </c>
      <c r="O61" s="6">
        <f t="shared" ref="O61:O72" si="114">+O79-O43-O25-O7</f>
        <v>1.7354333333333969</v>
      </c>
      <c r="P61" s="6">
        <f t="shared" ref="P61:X61" si="115">+SUM(C61)+SUM(B62:B72)</f>
        <v>2.6800229999999794</v>
      </c>
      <c r="Q61" s="6">
        <f t="shared" si="115"/>
        <v>1.3218999999999754</v>
      </c>
      <c r="R61" s="6">
        <f t="shared" si="115"/>
        <v>1.2877999999999841</v>
      </c>
      <c r="S61" s="6">
        <f t="shared" si="115"/>
        <v>2.5820000000000203</v>
      </c>
      <c r="T61" s="6">
        <f t="shared" si="115"/>
        <v>3.6866000000000021</v>
      </c>
      <c r="U61" s="6">
        <f t="shared" si="115"/>
        <v>5.2379999999999987</v>
      </c>
      <c r="V61" s="67">
        <f t="shared" si="115"/>
        <v>4.5628999999999937</v>
      </c>
      <c r="W61" s="37">
        <f t="shared" si="115"/>
        <v>4.2532999999999905</v>
      </c>
      <c r="X61" s="37">
        <f t="shared" si="115"/>
        <v>3.8413890000000128</v>
      </c>
      <c r="Y61" s="78">
        <f>+X61/W61-1</f>
        <v>-9.6845037970512027E-2</v>
      </c>
      <c r="Z61" s="7">
        <f>+POWER(X61/S61,0.2)-1</f>
        <v>8.269569537679855E-2</v>
      </c>
    </row>
    <row r="62" spans="1:26" x14ac:dyDescent="0.25">
      <c r="A62" s="42" t="s">
        <v>11</v>
      </c>
      <c r="B62" s="193">
        <f t="shared" ref="B62:H62" si="116">+B80-B44-B26-B8</f>
        <v>0.41565799999998898</v>
      </c>
      <c r="C62" s="6">
        <f t="shared" si="116"/>
        <v>0.11499999999999844</v>
      </c>
      <c r="D62" s="6">
        <f t="shared" si="116"/>
        <v>0.19729999999999848</v>
      </c>
      <c r="E62" s="6">
        <f t="shared" si="116"/>
        <v>5.4700000000002191E-2</v>
      </c>
      <c r="F62" s="6">
        <f t="shared" si="116"/>
        <v>0.14949999999999486</v>
      </c>
      <c r="G62" s="6">
        <f t="shared" si="116"/>
        <v>0.54610000000000225</v>
      </c>
      <c r="H62" s="6">
        <f t="shared" si="116"/>
        <v>0.20849999999999769</v>
      </c>
      <c r="I62" s="6">
        <f t="shared" si="112"/>
        <v>0.38580000000000236</v>
      </c>
      <c r="J62" s="67">
        <f t="shared" si="112"/>
        <v>0.30519999999999947</v>
      </c>
      <c r="K62" s="37">
        <f t="shared" si="113"/>
        <v>3.7300000000002109E-2</v>
      </c>
      <c r="L62" s="7">
        <f>+K62/J62-1</f>
        <v>-0.87778505897771242</v>
      </c>
      <c r="M62" s="2"/>
      <c r="N62" s="42" t="s">
        <v>11</v>
      </c>
      <c r="O62" s="6">
        <f t="shared" si="114"/>
        <v>2.3197555555554672</v>
      </c>
      <c r="P62" s="6">
        <f t="shared" ref="P62:U62" si="117">+SUM(C61:C62)+SUM(B63:B72)</f>
        <v>2.3793649999999889</v>
      </c>
      <c r="Q62" s="6">
        <f t="shared" si="117"/>
        <v>1.4041999999999755</v>
      </c>
      <c r="R62" s="6">
        <f t="shared" si="117"/>
        <v>1.1451999999999878</v>
      </c>
      <c r="S62" s="6">
        <f t="shared" si="117"/>
        <v>2.6768000000000129</v>
      </c>
      <c r="T62" s="6">
        <f t="shared" si="117"/>
        <v>4.0832000000000095</v>
      </c>
      <c r="U62" s="6">
        <f t="shared" si="117"/>
        <v>4.9003999999999941</v>
      </c>
      <c r="V62" s="67">
        <f t="shared" ref="V62" si="118">+SUM(I61:I62)+SUM(H63:H72)</f>
        <v>4.740199999999998</v>
      </c>
      <c r="W62" s="37">
        <f t="shared" ref="W62" si="119">+SUM(J61:J62)+SUM(I63:I72)</f>
        <v>4.1726999999999883</v>
      </c>
      <c r="X62" s="37">
        <f t="shared" ref="X62" si="120">+SUM(K61:K62)+SUM(J63:J72)</f>
        <v>3.5734890000000155</v>
      </c>
      <c r="Y62" s="78">
        <f>+X62/W62-1</f>
        <v>-0.14360270328563629</v>
      </c>
      <c r="Z62" s="7">
        <f>+POWER(X62/S62,0.2)-1</f>
        <v>5.9486202131715515E-2</v>
      </c>
    </row>
    <row r="63" spans="1:26" x14ac:dyDescent="0.25">
      <c r="A63" s="42" t="s">
        <v>0</v>
      </c>
      <c r="B63" s="193">
        <f t="shared" ref="B63:H72" si="121">+B81-B45-B27-B9</f>
        <v>0.141199999999992</v>
      </c>
      <c r="C63" s="6">
        <f t="shared" si="121"/>
        <v>0.23799999999999422</v>
      </c>
      <c r="D63" s="6">
        <f t="shared" si="121"/>
        <v>5.349999999999655E-2</v>
      </c>
      <c r="E63" s="6">
        <f t="shared" si="121"/>
        <v>1.031999999999996</v>
      </c>
      <c r="F63" s="6">
        <f t="shared" si="121"/>
        <v>0.27889999999999748</v>
      </c>
      <c r="G63" s="6">
        <f t="shared" si="121"/>
        <v>0.22610000000000152</v>
      </c>
      <c r="H63" s="6">
        <f t="shared" si="121"/>
        <v>0.29480000000000262</v>
      </c>
      <c r="I63" s="6">
        <f t="shared" si="112"/>
        <v>0.59400000000000075</v>
      </c>
      <c r="J63" s="67">
        <f t="shared" si="112"/>
        <v>0.34600000000000475</v>
      </c>
      <c r="K63" s="37">
        <f t="shared" si="113"/>
        <v>0.16779999999999906</v>
      </c>
      <c r="L63" s="7">
        <f>+K63/J63-1</f>
        <v>-0.51502890173411342</v>
      </c>
      <c r="M63" s="2"/>
      <c r="N63" s="42" t="s">
        <v>0</v>
      </c>
      <c r="O63" s="6">
        <f t="shared" si="114"/>
        <v>1.370255555555616</v>
      </c>
      <c r="P63" s="6">
        <f t="shared" ref="P63:U63" si="122">+SUM(C61:C63)+SUM(B64:B72)</f>
        <v>2.4761649999999911</v>
      </c>
      <c r="Q63" s="6">
        <f t="shared" si="122"/>
        <v>1.2196999999999778</v>
      </c>
      <c r="R63" s="6">
        <f t="shared" si="122"/>
        <v>2.123699999999987</v>
      </c>
      <c r="S63" s="6">
        <f t="shared" si="122"/>
        <v>1.9237000000000144</v>
      </c>
      <c r="T63" s="6">
        <f t="shared" si="122"/>
        <v>4.0304000000000135</v>
      </c>
      <c r="U63" s="6">
        <f t="shared" si="122"/>
        <v>4.9690999999999956</v>
      </c>
      <c r="V63" s="67">
        <f t="shared" ref="V63" si="123">+SUM(I61:I63)+SUM(H64:H72)</f>
        <v>5.039399999999997</v>
      </c>
      <c r="W63" s="37">
        <f t="shared" ref="W63" si="124">+SUM(J61:J63)+SUM(I64:I72)</f>
        <v>3.9246999999999925</v>
      </c>
      <c r="X63" s="37">
        <f t="shared" ref="X63" si="125">+SUM(K61:K63)+SUM(J64:J72)</f>
        <v>3.3952890000000098</v>
      </c>
      <c r="Y63" s="78">
        <f>+X63/W63-1</f>
        <v>-0.13489209366320576</v>
      </c>
      <c r="Z63" s="7">
        <f>+POWER(X63/S63,0.2)-1</f>
        <v>0.1203349392802251</v>
      </c>
    </row>
    <row r="64" spans="1:26" x14ac:dyDescent="0.25">
      <c r="A64" s="42" t="s">
        <v>1</v>
      </c>
      <c r="B64" s="193">
        <f t="shared" ref="B64:G64" si="126">+B82-B46-B28-B10</f>
        <v>0.24008400000000707</v>
      </c>
      <c r="C64" s="6">
        <f t="shared" si="126"/>
        <v>9.7300000000006825E-2</v>
      </c>
      <c r="D64" s="6">
        <f t="shared" si="126"/>
        <v>5.4599999999995319E-2</v>
      </c>
      <c r="E64" s="6">
        <f t="shared" si="126"/>
        <v>5.4400000000005555E-2</v>
      </c>
      <c r="F64" s="6">
        <f t="shared" si="126"/>
        <v>0.17419999999999503</v>
      </c>
      <c r="G64" s="6">
        <f t="shared" si="126"/>
        <v>0.26689999999999348</v>
      </c>
      <c r="H64" s="6">
        <f t="shared" si="121"/>
        <v>0.40310000000000445</v>
      </c>
      <c r="I64" s="6">
        <f t="shared" si="112"/>
        <v>0.49249999999999683</v>
      </c>
      <c r="J64" s="67">
        <f t="shared" si="112"/>
        <v>0.15839999999999943</v>
      </c>
      <c r="K64" s="37">
        <f t="shared" si="113"/>
        <v>0.22150000000000536</v>
      </c>
      <c r="L64" s="7">
        <f>+K64/J64-1</f>
        <v>0.39835858585862471</v>
      </c>
      <c r="M64" s="2"/>
      <c r="N64" s="42" t="s">
        <v>1</v>
      </c>
      <c r="O64" s="6">
        <f t="shared" si="114"/>
        <v>1.539833333333398</v>
      </c>
      <c r="P64" s="6">
        <f t="shared" ref="P64:U64" si="127">+SUM(C61:C64)+SUM(B65:B72)</f>
        <v>2.3333809999999908</v>
      </c>
      <c r="Q64" s="6">
        <f t="shared" si="127"/>
        <v>1.1769999999999663</v>
      </c>
      <c r="R64" s="6">
        <f t="shared" si="127"/>
        <v>2.1234999999999973</v>
      </c>
      <c r="S64" s="6">
        <f t="shared" si="127"/>
        <v>2.0435000000000039</v>
      </c>
      <c r="T64" s="6">
        <f t="shared" si="127"/>
        <v>4.1231000000000115</v>
      </c>
      <c r="U64" s="6">
        <f t="shared" si="127"/>
        <v>5.1053000000000068</v>
      </c>
      <c r="V64" s="67">
        <f t="shared" ref="V64" si="128">+SUM(I61:I64)+SUM(H65:H72)</f>
        <v>5.1287999999999894</v>
      </c>
      <c r="W64" s="37">
        <f t="shared" ref="W64" si="129">+SUM(J61:J64)+SUM(I65:I72)</f>
        <v>3.5905999999999949</v>
      </c>
      <c r="X64" s="37">
        <f t="shared" ref="X64" si="130">+SUM(K61:K64)+SUM(J65:J72)</f>
        <v>3.4583890000000159</v>
      </c>
      <c r="Y64" s="78">
        <f>+X64/W64-1</f>
        <v>-3.6821422603458775E-2</v>
      </c>
      <c r="Z64" s="7">
        <f>+POWER(X64/S64,0.2)-1</f>
        <v>0.11096362565443174</v>
      </c>
    </row>
    <row r="65" spans="1:28" x14ac:dyDescent="0.25">
      <c r="A65" s="42" t="s">
        <v>2</v>
      </c>
      <c r="B65" s="193">
        <f t="shared" ref="B65:G65" si="131">+B83-B47-B29-B11</f>
        <v>0.14957300000000151</v>
      </c>
      <c r="C65" s="6">
        <f t="shared" si="131"/>
        <v>0.22029999999999594</v>
      </c>
      <c r="D65" s="6">
        <f t="shared" si="131"/>
        <v>0.10339999999999705</v>
      </c>
      <c r="E65" s="6">
        <f t="shared" si="131"/>
        <v>0.38240000000000407</v>
      </c>
      <c r="F65" s="6">
        <f t="shared" si="131"/>
        <v>0.12500000000000755</v>
      </c>
      <c r="G65" s="6">
        <f t="shared" si="131"/>
        <v>0.19739999999999513</v>
      </c>
      <c r="H65" s="6">
        <f t="shared" si="121"/>
        <v>0.11239999999999517</v>
      </c>
      <c r="I65" s="6">
        <f t="shared" si="112"/>
        <v>0.40629999999999411</v>
      </c>
      <c r="J65" s="67">
        <f t="shared" si="112"/>
        <v>0.29179999999999717</v>
      </c>
      <c r="K65" s="37"/>
      <c r="L65" s="7"/>
      <c r="M65" s="2"/>
      <c r="N65" s="42" t="s">
        <v>2</v>
      </c>
      <c r="O65" s="6">
        <f t="shared" si="114"/>
        <v>1.7331555555557259</v>
      </c>
      <c r="P65" s="6">
        <f t="shared" ref="P65:U65" si="132">+SUM(C61:C65)+SUM(B66:B72)</f>
        <v>2.4041079999999853</v>
      </c>
      <c r="Q65" s="6">
        <f t="shared" si="132"/>
        <v>1.0600999999999674</v>
      </c>
      <c r="R65" s="6">
        <f t="shared" si="132"/>
        <v>2.4025000000000043</v>
      </c>
      <c r="S65" s="6">
        <f t="shared" si="132"/>
        <v>1.7861000000000073</v>
      </c>
      <c r="T65" s="6">
        <f t="shared" si="132"/>
        <v>4.1954999999999991</v>
      </c>
      <c r="U65" s="6">
        <f t="shared" si="132"/>
        <v>5.0203000000000069</v>
      </c>
      <c r="V65" s="67">
        <f t="shared" ref="V65" si="133">+SUM(I61:I65)+SUM(H66:H72)</f>
        <v>5.4226999999999883</v>
      </c>
      <c r="W65" s="37">
        <f t="shared" ref="W65" si="134">+SUM(J61:J65)+SUM(I66:I72)</f>
        <v>3.476099999999998</v>
      </c>
      <c r="X65" s="37"/>
      <c r="Y65" s="78"/>
      <c r="Z65" s="7"/>
    </row>
    <row r="66" spans="1:28" x14ac:dyDescent="0.25">
      <c r="A66" s="42" t="s">
        <v>3</v>
      </c>
      <c r="B66" s="193">
        <f t="shared" ref="B66:G66" si="135">+B84-B48-B30-B12</f>
        <v>0.37772100000001085</v>
      </c>
      <c r="C66" s="6">
        <f t="shared" si="135"/>
        <v>4.1999999999998039E-2</v>
      </c>
      <c r="D66" s="6">
        <f t="shared" si="135"/>
        <v>8.2599999999996232E-2</v>
      </c>
      <c r="E66" s="6">
        <f t="shared" si="135"/>
        <v>0.16049999999999542</v>
      </c>
      <c r="F66" s="6">
        <f t="shared" si="135"/>
        <v>0.18379999999999619</v>
      </c>
      <c r="G66" s="6">
        <f t="shared" si="135"/>
        <v>0.41890000000000116</v>
      </c>
      <c r="H66" s="6">
        <f t="shared" si="121"/>
        <v>0.35749999999999638</v>
      </c>
      <c r="I66" s="6">
        <f t="shared" si="112"/>
        <v>9.9300000000006605E-2</v>
      </c>
      <c r="J66" s="67">
        <f t="shared" si="112"/>
        <v>0.21540000000000403</v>
      </c>
      <c r="K66" s="37"/>
      <c r="L66" s="7"/>
      <c r="M66" s="2"/>
      <c r="N66" s="42" t="s">
        <v>3</v>
      </c>
      <c r="O66" s="6">
        <f t="shared" si="114"/>
        <v>1.5656111111110107</v>
      </c>
      <c r="P66" s="6">
        <f t="shared" ref="P66:U66" si="136">+SUM(C61:C66)+SUM(B67:B72)</f>
        <v>2.0683869999999724</v>
      </c>
      <c r="Q66" s="6">
        <f t="shared" si="136"/>
        <v>1.1006999999999656</v>
      </c>
      <c r="R66" s="6">
        <f t="shared" si="136"/>
        <v>2.4804000000000039</v>
      </c>
      <c r="S66" s="6">
        <f t="shared" si="136"/>
        <v>1.8094000000000081</v>
      </c>
      <c r="T66" s="6">
        <f t="shared" si="136"/>
        <v>4.4306000000000045</v>
      </c>
      <c r="U66" s="6">
        <f t="shared" si="136"/>
        <v>4.9589000000000016</v>
      </c>
      <c r="V66" s="67">
        <f t="shared" ref="V66" si="137">+SUM(I61:I66)+SUM(H67:H72)</f>
        <v>5.1644999999999985</v>
      </c>
      <c r="W66" s="37">
        <f t="shared" ref="W66" si="138">+SUM(J61:J66)+SUM(I67:I72)</f>
        <v>3.5921999999999952</v>
      </c>
      <c r="X66" s="37"/>
      <c r="Y66" s="78"/>
      <c r="Z66" s="7"/>
    </row>
    <row r="67" spans="1:28" x14ac:dyDescent="0.25">
      <c r="A67" s="42" t="s">
        <v>4</v>
      </c>
      <c r="B67" s="193">
        <f t="shared" ref="B67:G72" si="139">+B85-B49-B31-B13</f>
        <v>0.21470000000000455</v>
      </c>
      <c r="C67" s="6">
        <f t="shared" si="139"/>
        <v>7.7499999999998792E-2</v>
      </c>
      <c r="D67" s="6">
        <f t="shared" si="139"/>
        <v>0.19299999999999695</v>
      </c>
      <c r="E67" s="6">
        <f t="shared" si="139"/>
        <v>6.0199999999999143E-2</v>
      </c>
      <c r="F67" s="6">
        <f t="shared" si="139"/>
        <v>0.19920000000000027</v>
      </c>
      <c r="G67" s="6">
        <f t="shared" si="139"/>
        <v>0.48789999999999889</v>
      </c>
      <c r="H67" s="6">
        <f t="shared" si="121"/>
        <v>0.35100000000000042</v>
      </c>
      <c r="I67" s="6">
        <f t="shared" si="112"/>
        <v>0.2503999999999964</v>
      </c>
      <c r="J67" s="67">
        <f t="shared" ref="J67" si="140">+J85-J49-J31-J13</f>
        <v>0.74399999999999666</v>
      </c>
      <c r="K67" s="37"/>
      <c r="L67" s="7"/>
      <c r="M67" s="2"/>
      <c r="N67" s="42" t="s">
        <v>4</v>
      </c>
      <c r="O67" s="6">
        <f t="shared" si="114"/>
        <v>3.6143888888887545</v>
      </c>
      <c r="P67" s="6">
        <f t="shared" ref="P67:U67" si="141">+SUM(C61:C67)+SUM(B68:B72)</f>
        <v>1.9311869999999667</v>
      </c>
      <c r="Q67" s="6">
        <f t="shared" si="141"/>
        <v>1.2161999999999638</v>
      </c>
      <c r="R67" s="6">
        <f t="shared" si="141"/>
        <v>2.3476000000000061</v>
      </c>
      <c r="S67" s="6">
        <f t="shared" si="141"/>
        <v>1.9484000000000092</v>
      </c>
      <c r="T67" s="6">
        <f t="shared" si="141"/>
        <v>4.7193000000000032</v>
      </c>
      <c r="U67" s="6">
        <f t="shared" si="141"/>
        <v>4.8220000000000036</v>
      </c>
      <c r="V67" s="67">
        <f t="shared" ref="V67" si="142">+SUM(I61:I67)+SUM(H68:H72)</f>
        <v>5.0638999999999941</v>
      </c>
      <c r="W67" s="37">
        <f t="shared" ref="W67" si="143">+SUM(J61:J67)+SUM(I68:I72)</f>
        <v>4.0857999999999954</v>
      </c>
      <c r="X67" s="37"/>
      <c r="Y67" s="78"/>
      <c r="Z67" s="7"/>
    </row>
    <row r="68" spans="1:28" x14ac:dyDescent="0.25">
      <c r="A68" s="42" t="s">
        <v>5</v>
      </c>
      <c r="B68" s="193">
        <f t="shared" ref="B68:F68" si="144">+B86-B50-B32-B14</f>
        <v>0.22108199999999423</v>
      </c>
      <c r="C68" s="6">
        <f t="shared" si="144"/>
        <v>7.1300000000000807E-2</v>
      </c>
      <c r="D68" s="6">
        <f t="shared" si="144"/>
        <v>7.8299999999999592E-2</v>
      </c>
      <c r="E68" s="6">
        <f t="shared" si="144"/>
        <v>0.11460000000000337</v>
      </c>
      <c r="F68" s="6">
        <f t="shared" si="144"/>
        <v>0.22630000000000727</v>
      </c>
      <c r="G68" s="6">
        <f t="shared" si="139"/>
        <v>0.51270000000000282</v>
      </c>
      <c r="H68" s="6">
        <f t="shared" si="121"/>
        <v>0.76829999999999377</v>
      </c>
      <c r="I68" s="6">
        <f t="shared" si="112"/>
        <v>0.50529999999999564</v>
      </c>
      <c r="J68" s="67">
        <f t="shared" ref="J68" si="145">+J86-J50-J32-J14</f>
        <v>0.36950000000000482</v>
      </c>
      <c r="K68" s="37"/>
      <c r="L68" s="7"/>
      <c r="M68" s="2"/>
      <c r="N68" s="42" t="s">
        <v>5</v>
      </c>
      <c r="O68" s="6">
        <f t="shared" si="114"/>
        <v>3.9171888888888873</v>
      </c>
      <c r="P68" s="6">
        <f t="shared" ref="P68:U68" si="146">+SUM(C61:C68)+SUM(B69:B72)</f>
        <v>1.7814049999999733</v>
      </c>
      <c r="Q68" s="6">
        <f t="shared" si="146"/>
        <v>1.2231999999999625</v>
      </c>
      <c r="R68" s="6">
        <f t="shared" si="146"/>
        <v>2.3839000000000095</v>
      </c>
      <c r="S68" s="6">
        <f t="shared" si="146"/>
        <v>2.0601000000000131</v>
      </c>
      <c r="T68" s="6">
        <f t="shared" si="146"/>
        <v>5.0056999999999992</v>
      </c>
      <c r="U68" s="6">
        <f t="shared" si="146"/>
        <v>5.077599999999995</v>
      </c>
      <c r="V68" s="67">
        <f t="shared" ref="V68" si="147">+SUM(I61:I68)+SUM(H69:H72)</f>
        <v>4.8008999999999959</v>
      </c>
      <c r="W68" s="37">
        <f t="shared" ref="W68" si="148">+SUM(J61:J68)+SUM(I69:I72)</f>
        <v>3.9500000000000046</v>
      </c>
      <c r="X68" s="37"/>
      <c r="Y68" s="78"/>
      <c r="Z68" s="7"/>
    </row>
    <row r="69" spans="1:28" x14ac:dyDescent="0.25">
      <c r="A69" s="42" t="s">
        <v>6</v>
      </c>
      <c r="B69" s="193">
        <f t="shared" ref="B69:F69" si="149">+B87-B51-B33-B15</f>
        <v>0.22258799999998891</v>
      </c>
      <c r="C69" s="6">
        <f t="shared" si="149"/>
        <v>0.13599999999999612</v>
      </c>
      <c r="D69" s="6">
        <f t="shared" si="149"/>
        <v>0.1150000000000011</v>
      </c>
      <c r="E69" s="6">
        <f t="shared" si="149"/>
        <v>7.1000000000001506E-2</v>
      </c>
      <c r="F69" s="6">
        <f t="shared" si="149"/>
        <v>0.29790000000000116</v>
      </c>
      <c r="G69" s="6">
        <f t="shared" si="139"/>
        <v>0.59190000000000564</v>
      </c>
      <c r="H69" s="6">
        <f t="shared" si="121"/>
        <v>0.59260000000000712</v>
      </c>
      <c r="I69" s="6">
        <f t="shared" si="112"/>
        <v>0.51760000000000095</v>
      </c>
      <c r="J69" s="67">
        <f>+J87-J51-J33-J15</f>
        <v>0.17880000000000451</v>
      </c>
      <c r="K69" s="37"/>
      <c r="L69" s="7"/>
      <c r="M69" s="2"/>
      <c r="N69" s="42" t="s">
        <v>6</v>
      </c>
      <c r="O69" s="6">
        <f t="shared" si="114"/>
        <v>5.5557888888887845</v>
      </c>
      <c r="P69" s="6">
        <f t="shared" ref="P69:U69" si="150">+SUM(C61:C69)+SUM(B70:B72)</f>
        <v>1.6948169999999805</v>
      </c>
      <c r="Q69" s="6">
        <f t="shared" si="150"/>
        <v>1.2021999999999675</v>
      </c>
      <c r="R69" s="6">
        <f t="shared" si="150"/>
        <v>2.3399000000000099</v>
      </c>
      <c r="S69" s="6">
        <f t="shared" si="150"/>
        <v>2.2870000000000128</v>
      </c>
      <c r="T69" s="6">
        <f t="shared" si="150"/>
        <v>5.2997000000000032</v>
      </c>
      <c r="U69" s="6">
        <f t="shared" si="150"/>
        <v>5.078299999999996</v>
      </c>
      <c r="V69" s="67">
        <f t="shared" ref="V69" si="151">+SUM(I61:I69)+SUM(H70:H72)</f>
        <v>4.7258999999999896</v>
      </c>
      <c r="W69" s="37">
        <f t="shared" ref="W69" si="152">+SUM(J61:J69)+SUM(I70:I72)</f>
        <v>3.6112000000000082</v>
      </c>
      <c r="X69" s="37"/>
      <c r="Y69" s="78"/>
      <c r="Z69" s="7"/>
    </row>
    <row r="70" spans="1:28" x14ac:dyDescent="0.25">
      <c r="A70" s="42" t="s">
        <v>7</v>
      </c>
      <c r="B70" s="193">
        <f t="shared" ref="B70:F70" si="153">+B88-B52-B34-B16</f>
        <v>0.22661699999999607</v>
      </c>
      <c r="C70" s="6">
        <f t="shared" si="153"/>
        <v>5.5599999999995653E-2</v>
      </c>
      <c r="D70" s="6">
        <f t="shared" si="153"/>
        <v>7.1300000000009689E-2</v>
      </c>
      <c r="E70" s="6">
        <f t="shared" si="153"/>
        <v>6.530000000001257E-2</v>
      </c>
      <c r="F70" s="6">
        <f t="shared" si="153"/>
        <v>0.36769999999999525</v>
      </c>
      <c r="G70" s="6">
        <f t="shared" si="139"/>
        <v>0.52740000000000142</v>
      </c>
      <c r="H70" s="6">
        <f t="shared" si="121"/>
        <v>0.24740000000000384</v>
      </c>
      <c r="I70" s="6">
        <f t="shared" si="112"/>
        <v>0.27609999999999624</v>
      </c>
      <c r="J70" s="67">
        <f>+J88-J52-J34-J16</f>
        <v>0.31188900000000719</v>
      </c>
      <c r="K70" s="37"/>
      <c r="L70" s="7"/>
      <c r="M70" s="2"/>
      <c r="N70" s="42" t="s">
        <v>7</v>
      </c>
      <c r="O70" s="6">
        <f t="shared" si="114"/>
        <v>4.6592333333334537</v>
      </c>
      <c r="P70" s="6">
        <f t="shared" ref="P70:U70" si="154">+SUM(C61:C70)+SUM(B71:B72)</f>
        <v>1.5237999999999801</v>
      </c>
      <c r="Q70" s="6">
        <f t="shared" si="154"/>
        <v>1.2178999999999816</v>
      </c>
      <c r="R70" s="6">
        <f t="shared" si="154"/>
        <v>2.3339000000000127</v>
      </c>
      <c r="S70" s="6">
        <f t="shared" si="154"/>
        <v>2.5893999999999955</v>
      </c>
      <c r="T70" s="6">
        <f t="shared" si="154"/>
        <v>5.4594000000000094</v>
      </c>
      <c r="U70" s="6">
        <f t="shared" si="154"/>
        <v>4.7982999999999985</v>
      </c>
      <c r="V70" s="67">
        <f t="shared" ref="V70" si="155">+SUM(I61:I70)+SUM(H71:H72)</f>
        <v>4.7545999999999822</v>
      </c>
      <c r="W70" s="37">
        <f t="shared" ref="W70" si="156">+SUM(J61:J70)+SUM(I71:I72)</f>
        <v>3.6469890000000191</v>
      </c>
      <c r="X70" s="37"/>
      <c r="Y70" s="78"/>
      <c r="Z70" s="7"/>
    </row>
    <row r="71" spans="1:28" x14ac:dyDescent="0.25">
      <c r="A71" s="42" t="s">
        <v>8</v>
      </c>
      <c r="B71" s="193">
        <f t="shared" ref="B71:F71" si="157">+B89-B53-B35-B17</f>
        <v>0.19119999999999315</v>
      </c>
      <c r="C71" s="6">
        <f t="shared" si="157"/>
        <v>0.10600000000000076</v>
      </c>
      <c r="D71" s="6">
        <f t="shared" si="157"/>
        <v>0.10229999999999206</v>
      </c>
      <c r="E71" s="6">
        <f t="shared" si="157"/>
        <v>6.1599999999994992E-2</v>
      </c>
      <c r="F71" s="6">
        <f t="shared" si="157"/>
        <v>0.55500000000000682</v>
      </c>
      <c r="G71" s="6">
        <f t="shared" si="139"/>
        <v>0.52599999999999447</v>
      </c>
      <c r="H71" s="6">
        <f t="shared" si="121"/>
        <v>0.49890000000000123</v>
      </c>
      <c r="I71" s="6">
        <f t="shared" si="112"/>
        <v>0.22230000000000194</v>
      </c>
      <c r="J71" s="67">
        <f>+J89-J53-J35-J17</f>
        <v>0.18650000000000233</v>
      </c>
      <c r="K71" s="37"/>
      <c r="L71" s="7"/>
      <c r="M71" s="2"/>
      <c r="N71" s="42" t="s">
        <v>8</v>
      </c>
      <c r="O71" s="6">
        <f t="shared" si="114"/>
        <v>9.5711111111111933</v>
      </c>
      <c r="P71" s="6">
        <f t="shared" ref="P71:U71" si="158">+SUM(C61:C71)+SUM(B72)</f>
        <v>1.4385999999999877</v>
      </c>
      <c r="Q71" s="6">
        <f t="shared" si="158"/>
        <v>1.2141999999999729</v>
      </c>
      <c r="R71" s="6">
        <f t="shared" si="158"/>
        <v>2.2932000000000157</v>
      </c>
      <c r="S71" s="6">
        <f t="shared" si="158"/>
        <v>3.0828000000000073</v>
      </c>
      <c r="T71" s="6">
        <f t="shared" si="158"/>
        <v>5.430399999999997</v>
      </c>
      <c r="U71" s="6">
        <f t="shared" si="158"/>
        <v>4.7712000000000057</v>
      </c>
      <c r="V71" s="67">
        <f t="shared" ref="V71" si="159">+SUM(I61:I71)+SUM(H72)</f>
        <v>4.4779999999999829</v>
      </c>
      <c r="W71" s="37">
        <f t="shared" ref="W71" si="160">+SUM(J61:J71)+SUM(I72)</f>
        <v>3.6111890000000195</v>
      </c>
      <c r="X71" s="37"/>
      <c r="Y71" s="78"/>
      <c r="Z71" s="7"/>
    </row>
    <row r="72" spans="1:28" x14ac:dyDescent="0.25">
      <c r="A72" s="42" t="s">
        <v>9</v>
      </c>
      <c r="B72" s="193">
        <f t="shared" ref="B72:F72" si="161">+B90-B54-B36-B18</f>
        <v>0.18540000000000489</v>
      </c>
      <c r="C72" s="6">
        <f t="shared" si="161"/>
        <v>0.10829999999999496</v>
      </c>
      <c r="D72" s="6">
        <f t="shared" si="161"/>
        <v>3.9600000000001412E-2</v>
      </c>
      <c r="E72" s="6">
        <f t="shared" si="161"/>
        <v>0.18610000000000104</v>
      </c>
      <c r="F72" s="6">
        <f t="shared" si="161"/>
        <v>0.83020000000000405</v>
      </c>
      <c r="G72" s="6">
        <f t="shared" si="139"/>
        <v>0.8449000000000022</v>
      </c>
      <c r="H72" s="6">
        <f t="shared" si="121"/>
        <v>0.44879999999999232</v>
      </c>
      <c r="I72" s="6">
        <f t="shared" si="112"/>
        <v>0.37780000000000102</v>
      </c>
      <c r="J72" s="67">
        <f>+J90-J54-J36-J18</f>
        <v>0.32190000000000007</v>
      </c>
      <c r="K72" s="37"/>
      <c r="L72" s="7"/>
      <c r="M72" s="2"/>
      <c r="N72" s="42" t="s">
        <v>9</v>
      </c>
      <c r="O72" s="6">
        <f t="shared" si="114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162">+SUM(H61:H72)</f>
        <v>4.3750999999999953</v>
      </c>
      <c r="V72" s="67">
        <f t="shared" ref="V72" si="163">+SUM(I61:I72)</f>
        <v>4.4069999999999911</v>
      </c>
      <c r="W72" s="37">
        <f t="shared" ref="W72" si="164">+SUM(J61:J72)</f>
        <v>3.5552890000000188</v>
      </c>
      <c r="X72" s="37"/>
      <c r="Y72" s="78"/>
      <c r="Z72" s="7"/>
    </row>
    <row r="73" spans="1:28" ht="25.5" x14ac:dyDescent="0.25">
      <c r="A73" s="53" t="s">
        <v>13</v>
      </c>
      <c r="B73" s="194">
        <f>SUM(B61:B72)</f>
        <v>2.738766999999986</v>
      </c>
      <c r="C73" s="54">
        <f t="shared" ref="C73" si="165">SUM(C61:C72)</f>
        <v>1.3614999999999777</v>
      </c>
      <c r="D73" s="54">
        <f t="shared" ref="D73" si="166">SUM(D61:D72)</f>
        <v>1.1454999999999793</v>
      </c>
      <c r="E73" s="54">
        <f t="shared" ref="E73" si="167">SUM(E61:E72)</f>
        <v>2.4397000000000153</v>
      </c>
      <c r="F73" s="54">
        <f t="shared" ref="F73:H73" si="168">SUM(F61:F72)</f>
        <v>3.7269000000000103</v>
      </c>
      <c r="G73" s="54">
        <f t="shared" si="168"/>
        <v>5.4450999999999947</v>
      </c>
      <c r="H73" s="54">
        <f t="shared" si="168"/>
        <v>4.3750999999999953</v>
      </c>
      <c r="I73" s="54">
        <f t="shared" ref="I73:J73" si="169">SUM(I61:I72)</f>
        <v>4.4069999999999911</v>
      </c>
      <c r="J73" s="186">
        <f t="shared" si="169"/>
        <v>3.5552890000000188</v>
      </c>
      <c r="K73" s="18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170">+AVERAGE(Q61:Q72)</f>
        <v>1.2085666666666379</v>
      </c>
      <c r="R73" s="46">
        <f t="shared" si="170"/>
        <v>2.1417750000000031</v>
      </c>
      <c r="S73" s="46">
        <f t="shared" ref="S73:V73" si="171">+AVERAGE(S61:S72)</f>
        <v>2.3763416666666761</v>
      </c>
      <c r="T73" s="46">
        <f t="shared" si="171"/>
        <v>4.6590833333333377</v>
      </c>
      <c r="U73" s="226">
        <f t="shared" si="171"/>
        <v>4.9262083333333333</v>
      </c>
      <c r="V73" s="220">
        <f t="shared" si="171"/>
        <v>4.8573999999999922</v>
      </c>
      <c r="W73" s="197">
        <f t="shared" ref="W73:X73" si="172">+AVERAGE(W61:W72)</f>
        <v>3.7891722500000018</v>
      </c>
      <c r="X73" s="197">
        <f t="shared" si="172"/>
        <v>3.5671390000000138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173">+B73/B$91</f>
        <v>2.908513675106555E-3</v>
      </c>
      <c r="C74" s="58">
        <f t="shared" si="173"/>
        <v>1.5254850683975043E-3</v>
      </c>
      <c r="D74" s="58">
        <f t="shared" si="173"/>
        <v>1.3643367495150135E-3</v>
      </c>
      <c r="E74" s="58">
        <f t="shared" si="173"/>
        <v>2.7559156961130095E-3</v>
      </c>
      <c r="F74" s="58">
        <f t="shared" si="173"/>
        <v>3.9523172526511677E-3</v>
      </c>
      <c r="G74" s="58">
        <f t="shared" si="173"/>
        <v>6.4969930630808786E-3</v>
      </c>
      <c r="H74" s="58">
        <f t="shared" si="173"/>
        <v>5.2864284594019975E-3</v>
      </c>
      <c r="I74" s="58">
        <f t="shared" ref="I74:J74" si="174">+I73/I$91</f>
        <v>5.6845430734094081E-3</v>
      </c>
      <c r="J74" s="189">
        <f t="shared" si="174"/>
        <v>4.6621672886762331E-3</v>
      </c>
      <c r="K74" s="189"/>
      <c r="L74" s="59"/>
      <c r="M74" s="3"/>
      <c r="N74" s="44" t="s">
        <v>15</v>
      </c>
      <c r="O74" s="48">
        <f t="shared" ref="O74:V74" si="175">+O73/O$91</f>
        <v>4.3010979279841004E-3</v>
      </c>
      <c r="P74" s="48">
        <f t="shared" si="175"/>
        <v>2.1991454035076774E-3</v>
      </c>
      <c r="Q74" s="48">
        <f t="shared" si="175"/>
        <v>1.3887109181837053E-3</v>
      </c>
      <c r="R74" s="48">
        <f t="shared" ref="R74" si="176">+R73/R$91</f>
        <v>2.5061536123080165E-3</v>
      </c>
      <c r="S74" s="48">
        <f t="shared" si="175"/>
        <v>2.586818921115246E-3</v>
      </c>
      <c r="T74" s="48">
        <f t="shared" si="175"/>
        <v>5.2727743316716849E-3</v>
      </c>
      <c r="U74" s="58">
        <f t="shared" si="175"/>
        <v>5.8468887132966663E-3</v>
      </c>
      <c r="V74" s="189">
        <f t="shared" si="175"/>
        <v>6.1513476699304312E-3</v>
      </c>
      <c r="W74" s="188">
        <f t="shared" ref="W74:X74" si="177">+W73/W$91</f>
        <v>4.9484671466341994E-3</v>
      </c>
      <c r="X74" s="188">
        <f t="shared" si="177"/>
        <v>4.6237512999160041E-3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178">+D73/C73-1</f>
        <v>-0.15864854939405215</v>
      </c>
      <c r="E75" s="62">
        <f t="shared" ref="E75" si="179">+E73/D73-1</f>
        <v>1.1298123090354077</v>
      </c>
      <c r="F75" s="62">
        <f t="shared" ref="F75:G75" si="180">+F73/E73-1</f>
        <v>0.52760585317866426</v>
      </c>
      <c r="G75" s="62">
        <f t="shared" si="180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-0.19326321760834442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181">+Q73/P73-1</f>
        <v>-0.39754256453919823</v>
      </c>
      <c r="R75" s="50">
        <f t="shared" si="181"/>
        <v>0.77216123782998092</v>
      </c>
      <c r="S75" s="50">
        <f t="shared" ref="S75" si="182">+S73/R73-1</f>
        <v>0.10951975191916641</v>
      </c>
      <c r="T75" s="50">
        <f t="shared" ref="T75" si="183">+T73/S73-1</f>
        <v>0.96061172460469102</v>
      </c>
      <c r="U75" s="62">
        <f t="shared" ref="U75:X75" si="184">+U73/T73-1</f>
        <v>5.7334239567868206E-2</v>
      </c>
      <c r="V75" s="190">
        <f t="shared" si="184"/>
        <v>-1.3967808236559409E-2</v>
      </c>
      <c r="W75" s="187">
        <f t="shared" si="184"/>
        <v>-0.21991759995058924</v>
      </c>
      <c r="X75" s="187">
        <f t="shared" si="184"/>
        <v>-5.8596768726992488E-2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28" t="s">
        <v>241</v>
      </c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L77" s="330"/>
      <c r="M77" s="2"/>
      <c r="N77" s="328" t="s">
        <v>242</v>
      </c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30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185">+C78+1</f>
        <v>2018</v>
      </c>
      <c r="E78" s="39">
        <f t="shared" si="185"/>
        <v>2019</v>
      </c>
      <c r="F78" s="39">
        <f t="shared" si="185"/>
        <v>2020</v>
      </c>
      <c r="G78" s="39">
        <f t="shared" si="185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186">+P78+1</f>
        <v>2018</v>
      </c>
      <c r="R78" s="64">
        <f t="shared" si="186"/>
        <v>2019</v>
      </c>
      <c r="S78" s="64">
        <f t="shared" si="186"/>
        <v>2020</v>
      </c>
      <c r="T78" s="64">
        <f t="shared" ref="T78" si="187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188">+SUM(C79)+SUM(B80:B90)</f>
        <v>932.87149999999997</v>
      </c>
      <c r="Q79" s="80">
        <f t="shared" si="188"/>
        <v>893.31579999999997</v>
      </c>
      <c r="R79" s="80">
        <f t="shared" si="188"/>
        <v>840.39490000000001</v>
      </c>
      <c r="S79" s="80">
        <f t="shared" si="188"/>
        <v>893.8569</v>
      </c>
      <c r="T79" s="80">
        <f t="shared" si="188"/>
        <v>938.60810000000004</v>
      </c>
      <c r="U79" s="80">
        <f t="shared" si="188"/>
        <v>830.15379999999993</v>
      </c>
      <c r="V79" s="80">
        <f t="shared" si="188"/>
        <v>825.4905</v>
      </c>
      <c r="W79" s="67">
        <f t="shared" si="188"/>
        <v>770.2476999999999</v>
      </c>
      <c r="X79" s="37">
        <f t="shared" si="188"/>
        <v>767.58888899999988</v>
      </c>
      <c r="Y79" s="78">
        <f>+X79/W79-1</f>
        <v>-3.4518908657565905E-3</v>
      </c>
      <c r="Z79" s="7">
        <f>+POWER(X79/S79,0.2)-1</f>
        <v>-2.9999101543284334E-2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>+K80/J80-1</f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189">+SUM(C79:C80)+SUM(B81:B90)</f>
        <v>923.47460000000012</v>
      </c>
      <c r="Q80" s="80">
        <f t="shared" si="189"/>
        <v>892.93700000000001</v>
      </c>
      <c r="R80" s="80">
        <f t="shared" si="189"/>
        <v>842.95449999999994</v>
      </c>
      <c r="S80" s="80">
        <f t="shared" si="189"/>
        <v>898.68409999999994</v>
      </c>
      <c r="T80" s="80">
        <f t="shared" si="189"/>
        <v>932.46149999999989</v>
      </c>
      <c r="U80" s="80">
        <f t="shared" si="189"/>
        <v>829.73939999999993</v>
      </c>
      <c r="V80" s="80">
        <f t="shared" ref="V80" si="190">+SUM(I79:I80)+SUM(H81:H90)</f>
        <v>817.79320000000007</v>
      </c>
      <c r="W80" s="67">
        <f t="shared" ref="W80" si="191">+SUM(J79:J80)+SUM(I81:I90)</f>
        <v>771.02509999999984</v>
      </c>
      <c r="X80" s="37">
        <f t="shared" ref="X80" si="192">+SUM(K79:K80)+SUM(J81:J90)</f>
        <v>770.64888899999994</v>
      </c>
      <c r="Y80" s="78">
        <f>+X80/W80-1</f>
        <v>-4.8793612555531052E-4</v>
      </c>
      <c r="Z80" s="7">
        <f>+POWER(X80/S80,0.2)-1</f>
        <v>-3.0272080184960637E-2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>+K81/J81-1</f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193">+SUM(C79:C81)+SUM(B82:B90)</f>
        <v>918.15149999999994</v>
      </c>
      <c r="Q81" s="80">
        <f t="shared" si="193"/>
        <v>891.11159999999995</v>
      </c>
      <c r="R81" s="80">
        <f t="shared" si="193"/>
        <v>841.53099999999995</v>
      </c>
      <c r="S81" s="80">
        <f t="shared" si="193"/>
        <v>895.24649999999997</v>
      </c>
      <c r="T81" s="80">
        <f t="shared" si="193"/>
        <v>925.15620000000001</v>
      </c>
      <c r="U81" s="80">
        <f t="shared" si="193"/>
        <v>845.11109999999996</v>
      </c>
      <c r="V81" s="80">
        <f t="shared" si="193"/>
        <v>803.11280000000011</v>
      </c>
      <c r="W81" s="67">
        <f t="shared" ref="W81" si="194">+SUM(J79:J81)+SUM(I82:I90)</f>
        <v>768.28829999999994</v>
      </c>
      <c r="X81" s="37">
        <f t="shared" ref="X81" si="195">+SUM(K79:K81)+SUM(J82:J90)</f>
        <v>771.69958900000006</v>
      </c>
      <c r="Y81" s="78">
        <f>+X81/W81-1</f>
        <v>4.4401157742479658E-3</v>
      </c>
      <c r="Z81" s="7">
        <f>+POWER(X81/S81,0.2)-1</f>
        <v>-2.9264018814744164E-2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>+K82/J82-1</f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196">+SUM(C79:C82)+SUM(B83:B90)</f>
        <v>904.81209999999987</v>
      </c>
      <c r="Q82" s="80">
        <f t="shared" si="196"/>
        <v>889.66149999999993</v>
      </c>
      <c r="R82" s="80">
        <f t="shared" si="196"/>
        <v>841.82469999999989</v>
      </c>
      <c r="S82" s="80">
        <f t="shared" si="196"/>
        <v>896.96340000000009</v>
      </c>
      <c r="T82" s="80">
        <f t="shared" si="196"/>
        <v>920.71730000000002</v>
      </c>
      <c r="U82" s="80">
        <f t="shared" si="196"/>
        <v>846.21069999999997</v>
      </c>
      <c r="V82" s="80">
        <f t="shared" si="196"/>
        <v>799.32870000000014</v>
      </c>
      <c r="W82" s="67">
        <f t="shared" ref="W82" si="197">+SUM(J79:J82)+SUM(I83:I90)</f>
        <v>761.73969999999986</v>
      </c>
      <c r="X82" s="37">
        <f t="shared" ref="X82" si="198">+SUM(K79:K82)+SUM(J83:J90)</f>
        <v>775.98898900000006</v>
      </c>
      <c r="Y82" s="78">
        <f>+X82/W82-1</f>
        <v>1.8706244403436267E-2</v>
      </c>
      <c r="Z82" s="7">
        <f>+POWER(X82/S82,0.2)-1</f>
        <v>-2.8559585528883158E-2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66.909099999999995</v>
      </c>
      <c r="K83" s="37"/>
      <c r="L83" s="7"/>
      <c r="M83" s="2"/>
      <c r="N83" s="42" t="s">
        <v>2</v>
      </c>
      <c r="O83" s="80">
        <f>+'[2]2.CONSUMO ARGENTINA POR ENVASE'!I745/10000</f>
        <v>938.92403333333334</v>
      </c>
      <c r="P83" s="80">
        <f t="shared" ref="P83:V83" si="199">+SUM(C79:C83)+SUM(B84:B90)</f>
        <v>909.51599999999985</v>
      </c>
      <c r="Q83" s="80">
        <f t="shared" si="199"/>
        <v>883.15359999999998</v>
      </c>
      <c r="R83" s="80">
        <f t="shared" si="199"/>
        <v>848.56669999999997</v>
      </c>
      <c r="S83" s="80">
        <f t="shared" si="199"/>
        <v>894.92180000000008</v>
      </c>
      <c r="T83" s="80">
        <f t="shared" si="199"/>
        <v>900.47329999999999</v>
      </c>
      <c r="U83" s="80">
        <f t="shared" si="199"/>
        <v>851.22109999999998</v>
      </c>
      <c r="V83" s="80">
        <f t="shared" si="199"/>
        <v>796.83029999999997</v>
      </c>
      <c r="W83" s="67">
        <f t="shared" ref="W83" si="200">+SUM(J79:J83)+SUM(I84:I90)</f>
        <v>765.76340000000005</v>
      </c>
      <c r="X83" s="37"/>
      <c r="Y83" s="78"/>
      <c r="Z83" s="7"/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/>
      <c r="L84" s="7"/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01">+SUM(C79:C84)+SUM(B85:B90)</f>
        <v>919.3119999999999</v>
      </c>
      <c r="Q84" s="80">
        <f t="shared" si="201"/>
        <v>876.09320000000002</v>
      </c>
      <c r="R84" s="80">
        <f t="shared" si="201"/>
        <v>843.61899999999991</v>
      </c>
      <c r="S84" s="80">
        <f t="shared" si="201"/>
        <v>913.60750000000007</v>
      </c>
      <c r="T84" s="80">
        <f t="shared" si="201"/>
        <v>890.14640000000009</v>
      </c>
      <c r="U84" s="80">
        <f t="shared" si="201"/>
        <v>840.57370000000003</v>
      </c>
      <c r="V84" s="80">
        <f t="shared" si="201"/>
        <v>790.28679999999997</v>
      </c>
      <c r="W84" s="67">
        <f t="shared" ref="W84" si="202">+SUM(J79:J84)+SUM(I85:I90)</f>
        <v>760.14370000000008</v>
      </c>
      <c r="X84" s="37"/>
      <c r="Y84" s="78"/>
      <c r="Z84" s="7"/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/>
      <c r="L85" s="7"/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03">+SUM(C79:C85)+SUM(B86:B90)</f>
        <v>921.2346</v>
      </c>
      <c r="Q85" s="80">
        <f t="shared" si="203"/>
        <v>871.11079999999993</v>
      </c>
      <c r="R85" s="80">
        <f t="shared" si="203"/>
        <v>847.25559999999996</v>
      </c>
      <c r="S85" s="80">
        <f t="shared" si="203"/>
        <v>931.34730000000002</v>
      </c>
      <c r="T85" s="80">
        <f t="shared" si="203"/>
        <v>870.0077</v>
      </c>
      <c r="U85" s="80">
        <f t="shared" si="203"/>
        <v>841.24529999999993</v>
      </c>
      <c r="V85" s="80">
        <f t="shared" si="203"/>
        <v>781.96199999999999</v>
      </c>
      <c r="W85" s="67">
        <f t="shared" ref="W85" si="204">+SUM(J79:J85)+SUM(I86:I90)</f>
        <v>765.11149999999998</v>
      </c>
      <c r="X85" s="37"/>
      <c r="Y85" s="78"/>
      <c r="Z85" s="7"/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/>
      <c r="L86" s="7"/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05">+SUM(C79:C86)+SUM(B87:B90)</f>
        <v>914.32950000000005</v>
      </c>
      <c r="Q86" s="80">
        <f t="shared" si="205"/>
        <v>866.58549999999991</v>
      </c>
      <c r="R86" s="80">
        <f t="shared" si="205"/>
        <v>852.86860000000001</v>
      </c>
      <c r="S86" s="80">
        <f t="shared" si="205"/>
        <v>932.54430000000002</v>
      </c>
      <c r="T86" s="80">
        <f t="shared" si="205"/>
        <v>863.71550000000002</v>
      </c>
      <c r="U86" s="80">
        <f t="shared" si="205"/>
        <v>846.02089999999998</v>
      </c>
      <c r="V86" s="80">
        <f t="shared" si="205"/>
        <v>775.07169999999996</v>
      </c>
      <c r="W86" s="67">
        <f t="shared" ref="W86" si="206">+SUM(J79:J86)+SUM(I87:I90)</f>
        <v>769.40149999999994</v>
      </c>
      <c r="X86" s="37"/>
      <c r="Y86" s="78"/>
      <c r="Z86" s="7"/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/>
      <c r="L87" s="7"/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07">+SUM(C79:C87)+SUM(B88:B90)</f>
        <v>907.47389999999996</v>
      </c>
      <c r="Q87" s="80">
        <f t="shared" si="207"/>
        <v>855.03329999999994</v>
      </c>
      <c r="R87" s="80">
        <f t="shared" si="207"/>
        <v>859.33539999999994</v>
      </c>
      <c r="S87" s="80">
        <f t="shared" si="207"/>
        <v>940.55520000000001</v>
      </c>
      <c r="T87" s="80">
        <f t="shared" si="207"/>
        <v>850.10829999999999</v>
      </c>
      <c r="U87" s="80">
        <f t="shared" si="207"/>
        <v>850.27520000000004</v>
      </c>
      <c r="V87" s="80">
        <f t="shared" si="207"/>
        <v>768.65459999999996</v>
      </c>
      <c r="W87" s="67">
        <f t="shared" ref="W87" si="208">+SUM(J79:J87)+SUM(I88:I90)</f>
        <v>768.85059999999999</v>
      </c>
      <c r="X87" s="37"/>
      <c r="Y87" s="78"/>
      <c r="Z87" s="7"/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09">+SUM(C79:C88)+SUM(B89:B90)</f>
        <v>902.39879999999994</v>
      </c>
      <c r="Q88" s="80">
        <f t="shared" si="209"/>
        <v>847.17489999999998</v>
      </c>
      <c r="R88" s="80">
        <f t="shared" si="209"/>
        <v>871.19799999999987</v>
      </c>
      <c r="S88" s="80">
        <f t="shared" si="209"/>
        <v>942.16830000000004</v>
      </c>
      <c r="T88" s="80">
        <f t="shared" si="209"/>
        <v>835.22040000000004</v>
      </c>
      <c r="U88" s="80">
        <f t="shared" si="209"/>
        <v>857.32049999999992</v>
      </c>
      <c r="V88" s="80">
        <f t="shared" si="209"/>
        <v>769.60519999999997</v>
      </c>
      <c r="W88" s="67">
        <f t="shared" ref="W88" si="210">+SUM(J79:J88)+SUM(I89:I90)</f>
        <v>761.74768900000004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11">+SUM(C79:C89)+SUM(B90)</f>
        <v>900.3282999999999</v>
      </c>
      <c r="Q89" s="80">
        <f t="shared" si="211"/>
        <v>837.57490000000007</v>
      </c>
      <c r="R89" s="80">
        <f t="shared" si="211"/>
        <v>880.46949999999993</v>
      </c>
      <c r="S89" s="80">
        <f t="shared" si="211"/>
        <v>940.7555000000001</v>
      </c>
      <c r="T89" s="80">
        <f t="shared" si="211"/>
        <v>838.62630000000001</v>
      </c>
      <c r="U89" s="80">
        <f t="shared" si="211"/>
        <v>844.93839999999989</v>
      </c>
      <c r="V89" s="80">
        <f t="shared" si="211"/>
        <v>772.38119999999992</v>
      </c>
      <c r="W89" s="67">
        <f t="shared" ref="W89" si="212">+SUM(J79:J89)+SUM(I90)</f>
        <v>763.81548899999996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13">+SUM(C79:C90)</f>
        <v>892.50299999999993</v>
      </c>
      <c r="Q90" s="80">
        <f t="shared" si="213"/>
        <v>839.60210000000006</v>
      </c>
      <c r="R90" s="80">
        <f t="shared" si="213"/>
        <v>885.25929999999994</v>
      </c>
      <c r="S90" s="80">
        <f t="shared" si="213"/>
        <v>942.96580000000006</v>
      </c>
      <c r="T90" s="80">
        <f t="shared" si="213"/>
        <v>838.09540000000004</v>
      </c>
      <c r="U90" s="80">
        <f t="shared" si="213"/>
        <v>827.60979999999995</v>
      </c>
      <c r="V90" s="80">
        <f t="shared" si="213"/>
        <v>775.26019999999983</v>
      </c>
      <c r="W90" s="67">
        <f t="shared" ref="W90" si="214">+SUM(J79:J90)</f>
        <v>762.58288900000002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15">SUM(C79:C90)</f>
        <v>892.50299999999993</v>
      </c>
      <c r="D91" s="54">
        <f t="shared" si="215"/>
        <v>839.60210000000006</v>
      </c>
      <c r="E91" s="54">
        <f t="shared" si="215"/>
        <v>885.25929999999994</v>
      </c>
      <c r="F91" s="54">
        <f t="shared" si="215"/>
        <v>942.96580000000006</v>
      </c>
      <c r="G91" s="54">
        <f t="shared" si="215"/>
        <v>838.09540000000004</v>
      </c>
      <c r="H91" s="54">
        <f t="shared" si="215"/>
        <v>827.60979999999995</v>
      </c>
      <c r="I91" s="54">
        <f t="shared" ref="I91:J91" si="216">SUM(I79:I90)</f>
        <v>775.26019999999983</v>
      </c>
      <c r="J91" s="186">
        <f t="shared" si="216"/>
        <v>762.58288900000002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17">+AVERAGE(Q79:Q90)</f>
        <v>870.27951666666661</v>
      </c>
      <c r="R91" s="157">
        <f t="shared" si="217"/>
        <v>854.60643333333326</v>
      </c>
      <c r="S91" s="157">
        <f t="shared" si="217"/>
        <v>918.63471666666658</v>
      </c>
      <c r="T91" s="157">
        <f t="shared" si="217"/>
        <v>883.61136666666664</v>
      </c>
      <c r="U91" s="226">
        <f t="shared" si="217"/>
        <v>842.53499166666654</v>
      </c>
      <c r="V91" s="226">
        <f t="shared" ref="V91:W91" si="218">+AVERAGE(V79:V90)</f>
        <v>789.6481</v>
      </c>
      <c r="W91" s="220">
        <f t="shared" si="218"/>
        <v>765.72646391666649</v>
      </c>
      <c r="X91" s="220">
        <f t="shared" ref="X91" si="219">+AVERAGE(X79:X90)</f>
        <v>771.48158899999987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20">+D91/C91-1</f>
        <v>-5.9272517851480466E-2</v>
      </c>
      <c r="E92" s="62">
        <f t="shared" si="220"/>
        <v>5.4379568607558104E-2</v>
      </c>
      <c r="F92" s="62">
        <f t="shared" si="220"/>
        <v>6.5185985620258569E-2</v>
      </c>
      <c r="G92" s="62">
        <f t="shared" ref="G92" si="221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-1.6352330482075295E-2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22">+Q91/P91-1</f>
        <v>-4.5955869825326512E-2</v>
      </c>
      <c r="R92" s="50">
        <f t="shared" si="222"/>
        <v>-1.800925223813632E-2</v>
      </c>
      <c r="S92" s="50">
        <f t="shared" si="222"/>
        <v>7.4921368288318968E-2</v>
      </c>
      <c r="T92" s="50">
        <f t="shared" si="222"/>
        <v>-3.8125436982269445E-2</v>
      </c>
      <c r="U92" s="62">
        <f t="shared" si="222"/>
        <v>-4.6486924624970061E-2</v>
      </c>
      <c r="V92" s="62">
        <f t="shared" si="222"/>
        <v>-6.2771151572052819E-2</v>
      </c>
      <c r="W92" s="190">
        <f t="shared" si="222"/>
        <v>-3.029404627622545E-2</v>
      </c>
      <c r="X92" s="190">
        <f t="shared" si="222"/>
        <v>7.5159020283772637E-3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22" t="str">
        <f>+A5</f>
        <v>DESPACHO DOMESTICO ENVASADO EN DAMAJUANA - Millones de litros</v>
      </c>
      <c r="B96" s="323"/>
      <c r="C96" s="323"/>
      <c r="D96" s="323"/>
      <c r="E96" s="323"/>
      <c r="F96" s="323"/>
      <c r="G96" s="323"/>
      <c r="H96" s="323"/>
      <c r="I96" s="323"/>
      <c r="J96" s="323"/>
      <c r="K96" s="324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23">+C97+1</f>
        <v>2018</v>
      </c>
      <c r="E97" s="260">
        <f t="shared" si="223"/>
        <v>2019</v>
      </c>
      <c r="F97" s="260">
        <f t="shared" si="223"/>
        <v>2020</v>
      </c>
      <c r="G97" s="260">
        <f t="shared" si="223"/>
        <v>2021</v>
      </c>
      <c r="H97" s="260">
        <f t="shared" si="223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24">+SUM(C7:C9)</f>
        <v>8.2279</v>
      </c>
      <c r="D98" s="6">
        <f t="shared" si="224"/>
        <v>7.7675000000000001</v>
      </c>
      <c r="E98" s="6">
        <f t="shared" si="224"/>
        <v>7.5384999999999991</v>
      </c>
      <c r="F98" s="6">
        <f t="shared" si="224"/>
        <v>6.6530999999999993</v>
      </c>
      <c r="G98" s="6">
        <f t="shared" si="224"/>
        <v>6.8464999999999998</v>
      </c>
      <c r="H98" s="6">
        <f t="shared" si="224"/>
        <v>6.6273</v>
      </c>
      <c r="I98" s="6">
        <f t="shared" si="224"/>
        <v>6.1451999999999991</v>
      </c>
      <c r="J98" s="67">
        <f t="shared" si="224"/>
        <v>4.4094999999999995</v>
      </c>
      <c r="K98" s="265">
        <f t="shared" si="224"/>
        <v>4.7942</v>
      </c>
    </row>
    <row r="99" spans="1:11" x14ac:dyDescent="0.25">
      <c r="A99" s="264" t="s">
        <v>300</v>
      </c>
      <c r="B99" s="193"/>
      <c r="C99" s="6"/>
      <c r="D99" s="6"/>
      <c r="E99" s="6"/>
      <c r="F99" s="6"/>
      <c r="G99" s="6"/>
      <c r="H99" s="6"/>
      <c r="I99" s="6"/>
      <c r="J99" s="67"/>
      <c r="K99" s="265"/>
    </row>
    <row r="100" spans="1:11" x14ac:dyDescent="0.25">
      <c r="A100" s="264" t="s">
        <v>301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25">SUM(B98:B101)</f>
        <v>7.5614999999999988</v>
      </c>
      <c r="C102" s="54">
        <f t="shared" si="225"/>
        <v>8.2279</v>
      </c>
      <c r="D102" s="54">
        <f t="shared" si="225"/>
        <v>7.7675000000000001</v>
      </c>
      <c r="E102" s="54">
        <f t="shared" si="225"/>
        <v>7.5384999999999991</v>
      </c>
      <c r="F102" s="54">
        <f t="shared" si="225"/>
        <v>6.6530999999999993</v>
      </c>
      <c r="G102" s="54">
        <f t="shared" si="225"/>
        <v>6.8464999999999998</v>
      </c>
      <c r="H102" s="54">
        <f t="shared" si="225"/>
        <v>6.6273</v>
      </c>
      <c r="I102" s="54">
        <f t="shared" si="225"/>
        <v>6.1451999999999991</v>
      </c>
      <c r="J102" s="186">
        <f t="shared" si="225"/>
        <v>4.4094999999999995</v>
      </c>
      <c r="K102" s="267">
        <f t="shared" si="225"/>
        <v>4.7942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26">+D98/C98-1</f>
        <v>-5.5955954739362435E-2</v>
      </c>
      <c r="E103" s="257">
        <f t="shared" si="226"/>
        <v>-2.9481815255874011E-2</v>
      </c>
      <c r="F103" s="257">
        <f t="shared" si="226"/>
        <v>-0.11745042117132054</v>
      </c>
      <c r="G103" s="257">
        <f t="shared" si="226"/>
        <v>2.9069155731914487E-2</v>
      </c>
      <c r="H103" s="257">
        <f t="shared" si="226"/>
        <v>-3.2016358723435334E-2</v>
      </c>
      <c r="I103" s="257">
        <f t="shared" si="226"/>
        <v>-7.2744556606763044E-2</v>
      </c>
      <c r="J103" s="258">
        <f t="shared" si="226"/>
        <v>-0.28244808956584</v>
      </c>
      <c r="K103" s="269">
        <f t="shared" si="226"/>
        <v>8.7243451638507885E-2</v>
      </c>
    </row>
    <row r="104" spans="1:11" x14ac:dyDescent="0.25">
      <c r="A104" s="268" t="s">
        <v>304</v>
      </c>
      <c r="B104" s="256"/>
      <c r="C104" s="257"/>
      <c r="D104" s="257"/>
      <c r="E104" s="257"/>
      <c r="F104" s="257"/>
      <c r="G104" s="257"/>
      <c r="H104" s="257"/>
      <c r="I104" s="257"/>
      <c r="J104" s="258"/>
      <c r="K104" s="269"/>
    </row>
    <row r="105" spans="1:11" x14ac:dyDescent="0.25">
      <c r="A105" s="268" t="s">
        <v>305</v>
      </c>
      <c r="B105" s="256"/>
      <c r="C105" s="257"/>
      <c r="D105" s="257"/>
      <c r="E105" s="257"/>
      <c r="F105" s="257"/>
      <c r="G105" s="257"/>
      <c r="H105" s="257"/>
      <c r="I105" s="257"/>
      <c r="J105" s="258"/>
      <c r="K105" s="269"/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22" t="str">
        <f>+A23</f>
        <v>DESPACHO DOMESTICO ENVASADO EN BOTELLA - Millones de litros</v>
      </c>
      <c r="B111" s="323"/>
      <c r="C111" s="323"/>
      <c r="D111" s="323"/>
      <c r="E111" s="323"/>
      <c r="F111" s="323"/>
      <c r="G111" s="323"/>
      <c r="H111" s="323"/>
      <c r="I111" s="323"/>
      <c r="J111" s="323"/>
      <c r="K111" s="324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227">+C112+1</f>
        <v>2018</v>
      </c>
      <c r="E112" s="260">
        <f t="shared" ref="E112" si="228">+D112+1</f>
        <v>2019</v>
      </c>
      <c r="F112" s="260">
        <f t="shared" ref="F112" si="229">+E112+1</f>
        <v>2020</v>
      </c>
      <c r="G112" s="260">
        <f t="shared" ref="G112" si="230">+F112+1</f>
        <v>2021</v>
      </c>
      <c r="H112" s="260">
        <f t="shared" ref="H112" si="231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232">+SUM(B25:B27)</f>
        <v>107.02800000000001</v>
      </c>
      <c r="C113" s="6">
        <f t="shared" si="232"/>
        <v>92.104299999999995</v>
      </c>
      <c r="D113" s="6">
        <f t="shared" si="232"/>
        <v>93.526600000000002</v>
      </c>
      <c r="E113" s="6">
        <f t="shared" si="232"/>
        <v>94.101600000000005</v>
      </c>
      <c r="F113" s="6">
        <f t="shared" si="232"/>
        <v>104.84439999999999</v>
      </c>
      <c r="G113" s="6">
        <f t="shared" si="232"/>
        <v>105.28530000000001</v>
      </c>
      <c r="H113" s="6">
        <f t="shared" si="232"/>
        <v>109.38900000000001</v>
      </c>
      <c r="I113" s="6">
        <f t="shared" si="232"/>
        <v>95.628299999999996</v>
      </c>
      <c r="J113" s="67">
        <f t="shared" si="232"/>
        <v>90.802000000000007</v>
      </c>
      <c r="K113" s="265">
        <f t="shared" si="232"/>
        <v>98.974900000000005</v>
      </c>
    </row>
    <row r="114" spans="1:11" x14ac:dyDescent="0.25">
      <c r="A114" s="264" t="s">
        <v>300</v>
      </c>
      <c r="B114" s="193"/>
      <c r="C114" s="6"/>
      <c r="D114" s="6"/>
      <c r="E114" s="6"/>
      <c r="F114" s="6"/>
      <c r="G114" s="6"/>
      <c r="H114" s="6"/>
      <c r="I114" s="6"/>
      <c r="J114" s="67"/>
      <c r="K114" s="265"/>
    </row>
    <row r="115" spans="1:11" x14ac:dyDescent="0.25">
      <c r="A115" s="264" t="s">
        <v>301</v>
      </c>
      <c r="B115" s="193"/>
      <c r="C115" s="6"/>
      <c r="D115" s="6"/>
      <c r="E115" s="6"/>
      <c r="F115" s="6"/>
      <c r="G115" s="6"/>
      <c r="H115" s="6"/>
      <c r="I115" s="6"/>
      <c r="J115" s="67"/>
      <c r="K115" s="265"/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233">SUM(B113:B116)</f>
        <v>107.02800000000001</v>
      </c>
      <c r="C117" s="54">
        <f t="shared" si="233"/>
        <v>92.104299999999995</v>
      </c>
      <c r="D117" s="54">
        <f t="shared" si="233"/>
        <v>93.526600000000002</v>
      </c>
      <c r="E117" s="54">
        <f t="shared" si="233"/>
        <v>94.101600000000005</v>
      </c>
      <c r="F117" s="54">
        <f t="shared" si="233"/>
        <v>104.84439999999999</v>
      </c>
      <c r="G117" s="54">
        <f t="shared" si="233"/>
        <v>105.28530000000001</v>
      </c>
      <c r="H117" s="54">
        <f t="shared" si="233"/>
        <v>109.38900000000001</v>
      </c>
      <c r="I117" s="54">
        <f t="shared" si="233"/>
        <v>95.628299999999996</v>
      </c>
      <c r="J117" s="186">
        <f t="shared" si="233"/>
        <v>90.802000000000007</v>
      </c>
      <c r="K117" s="267">
        <f t="shared" si="233"/>
        <v>98.974900000000005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234">+D113/C113-1</f>
        <v>1.5442275767798108E-2</v>
      </c>
      <c r="E118" s="257">
        <f t="shared" si="234"/>
        <v>6.1479835683111439E-3</v>
      </c>
      <c r="F118" s="257">
        <f t="shared" si="234"/>
        <v>0.11416171457233437</v>
      </c>
      <c r="G118" s="257">
        <f t="shared" si="234"/>
        <v>4.2052794426790108E-3</v>
      </c>
      <c r="H118" s="257">
        <f t="shared" si="234"/>
        <v>3.8976951198315568E-2</v>
      </c>
      <c r="I118" s="257">
        <f t="shared" si="234"/>
        <v>-0.1257960123961277</v>
      </c>
      <c r="J118" s="258">
        <f t="shared" si="234"/>
        <v>-5.0469369423068122E-2</v>
      </c>
      <c r="K118" s="269">
        <f t="shared" si="234"/>
        <v>9.0007929340763404E-2</v>
      </c>
    </row>
    <row r="119" spans="1:11" x14ac:dyDescent="0.25">
      <c r="A119" s="268" t="s">
        <v>304</v>
      </c>
      <c r="B119" s="256"/>
      <c r="C119" s="257"/>
      <c r="D119" s="257"/>
      <c r="E119" s="257"/>
      <c r="F119" s="257"/>
      <c r="G119" s="257"/>
      <c r="H119" s="257"/>
      <c r="I119" s="257"/>
      <c r="J119" s="258"/>
      <c r="K119" s="269"/>
    </row>
    <row r="120" spans="1:11" x14ac:dyDescent="0.25">
      <c r="A120" s="268" t="s">
        <v>305</v>
      </c>
      <c r="B120" s="256"/>
      <c r="C120" s="257"/>
      <c r="D120" s="257"/>
      <c r="E120" s="257"/>
      <c r="F120" s="257"/>
      <c r="G120" s="257"/>
      <c r="H120" s="257"/>
      <c r="I120" s="257"/>
      <c r="J120" s="258"/>
      <c r="K120" s="269"/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22" t="str">
        <f>+A41</f>
        <v>DESPACHO DOMESTICO ENVASADO EN TETRABRIK - Millones de litros</v>
      </c>
      <c r="B126" s="323"/>
      <c r="C126" s="323"/>
      <c r="D126" s="323"/>
      <c r="E126" s="323"/>
      <c r="F126" s="323"/>
      <c r="G126" s="323"/>
      <c r="H126" s="323"/>
      <c r="I126" s="323"/>
      <c r="J126" s="323"/>
      <c r="K126" s="324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235">+C127+1</f>
        <v>2018</v>
      </c>
      <c r="E127" s="260">
        <f t="shared" ref="E127" si="236">+D127+1</f>
        <v>2019</v>
      </c>
      <c r="F127" s="260">
        <f t="shared" ref="F127" si="237">+E127+1</f>
        <v>2020</v>
      </c>
      <c r="G127" s="260">
        <f t="shared" ref="G127" si="238">+F127+1</f>
        <v>2021</v>
      </c>
      <c r="H127" s="260">
        <f t="shared" ref="H127" si="239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240">+SUM(C43:C45)</f>
        <v>85.806300000000007</v>
      </c>
      <c r="D128" s="6">
        <f t="shared" si="240"/>
        <v>83.594800000000006</v>
      </c>
      <c r="E128" s="6">
        <f t="shared" si="240"/>
        <v>86.254800000000003</v>
      </c>
      <c r="F128" s="6">
        <f t="shared" si="240"/>
        <v>84.845300000000009</v>
      </c>
      <c r="G128" s="6">
        <f t="shared" si="240"/>
        <v>66.09790000000001</v>
      </c>
      <c r="H128" s="6">
        <f t="shared" si="240"/>
        <v>69.705100000000002</v>
      </c>
      <c r="I128" s="6">
        <f t="shared" si="240"/>
        <v>58.786600000000007</v>
      </c>
      <c r="J128" s="67">
        <f t="shared" si="240"/>
        <v>58.858999999999995</v>
      </c>
      <c r="K128" s="265">
        <f t="shared" si="240"/>
        <v>59.578099999999999</v>
      </c>
    </row>
    <row r="129" spans="1:11" x14ac:dyDescent="0.25">
      <c r="A129" s="264" t="s">
        <v>300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4" t="s">
        <v>301</v>
      </c>
      <c r="B130" s="193"/>
      <c r="C130" s="6"/>
      <c r="D130" s="6"/>
      <c r="E130" s="6"/>
      <c r="F130" s="6"/>
      <c r="G130" s="6"/>
      <c r="H130" s="6"/>
      <c r="I130" s="6"/>
      <c r="J130" s="67"/>
      <c r="K130" s="265"/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241">SUM(B128:B131)</f>
        <v>94.772897999999998</v>
      </c>
      <c r="C132" s="54">
        <f t="shared" si="241"/>
        <v>85.806300000000007</v>
      </c>
      <c r="D132" s="54">
        <f t="shared" si="241"/>
        <v>83.594800000000006</v>
      </c>
      <c r="E132" s="54">
        <f t="shared" si="241"/>
        <v>86.254800000000003</v>
      </c>
      <c r="F132" s="54">
        <f t="shared" si="241"/>
        <v>84.845300000000009</v>
      </c>
      <c r="G132" s="54">
        <f t="shared" si="241"/>
        <v>66.09790000000001</v>
      </c>
      <c r="H132" s="54">
        <f t="shared" si="241"/>
        <v>69.705100000000002</v>
      </c>
      <c r="I132" s="54">
        <f t="shared" si="241"/>
        <v>58.786600000000007</v>
      </c>
      <c r="J132" s="186">
        <f t="shared" si="241"/>
        <v>58.858999999999995</v>
      </c>
      <c r="K132" s="267">
        <f t="shared" si="241"/>
        <v>59.578099999999999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242">+D128/C128-1</f>
        <v>-2.5773165839804268E-2</v>
      </c>
      <c r="E133" s="257">
        <f t="shared" si="242"/>
        <v>3.1820161062649843E-2</v>
      </c>
      <c r="F133" s="257">
        <f t="shared" si="242"/>
        <v>-1.6341119566679163E-2</v>
      </c>
      <c r="G133" s="257">
        <f t="shared" si="242"/>
        <v>-0.2209597938836918</v>
      </c>
      <c r="H133" s="257">
        <f t="shared" si="242"/>
        <v>5.457359462252187E-2</v>
      </c>
      <c r="I133" s="257">
        <f t="shared" si="242"/>
        <v>-0.15663846691275096</v>
      </c>
      <c r="J133" s="258">
        <f t="shared" si="242"/>
        <v>1.2315731816432418E-3</v>
      </c>
      <c r="K133" s="269">
        <f t="shared" si="242"/>
        <v>1.221733294823224E-2</v>
      </c>
    </row>
    <row r="134" spans="1:11" x14ac:dyDescent="0.25">
      <c r="A134" s="268" t="s">
        <v>304</v>
      </c>
      <c r="B134" s="256"/>
      <c r="C134" s="257"/>
      <c r="D134" s="257"/>
      <c r="E134" s="257"/>
      <c r="F134" s="257"/>
      <c r="G134" s="257"/>
      <c r="H134" s="257"/>
      <c r="I134" s="257"/>
      <c r="J134" s="258"/>
      <c r="K134" s="269"/>
    </row>
    <row r="135" spans="1:11" x14ac:dyDescent="0.25">
      <c r="A135" s="268" t="s">
        <v>305</v>
      </c>
      <c r="B135" s="256"/>
      <c r="C135" s="257"/>
      <c r="D135" s="257"/>
      <c r="E135" s="257"/>
      <c r="F135" s="257"/>
      <c r="G135" s="257"/>
      <c r="H135" s="257"/>
      <c r="I135" s="257"/>
      <c r="J135" s="258"/>
      <c r="K135" s="269"/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22" t="str">
        <f>+A59</f>
        <v>DESPACHO DOMESTICO ENVASADO EN OTROS ENVASES - Millones de litros</v>
      </c>
      <c r="B141" s="323"/>
      <c r="C141" s="323"/>
      <c r="D141" s="323"/>
      <c r="E141" s="323"/>
      <c r="F141" s="323"/>
      <c r="G141" s="323"/>
      <c r="H141" s="323"/>
      <c r="I141" s="323"/>
      <c r="J141" s="323"/>
      <c r="K141" s="324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243">+C142+1</f>
        <v>2018</v>
      </c>
      <c r="E142" s="260">
        <f t="shared" ref="E142" si="244">+D142+1</f>
        <v>2019</v>
      </c>
      <c r="F142" s="260">
        <f t="shared" ref="F142" si="245">+E142+1</f>
        <v>2020</v>
      </c>
      <c r="G142" s="260">
        <f t="shared" ref="G142" si="246">+F142+1</f>
        <v>2021</v>
      </c>
      <c r="H142" s="260">
        <f t="shared" ref="H142" si="247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248">+SUM(C61:C63)</f>
        <v>0.44719999999998983</v>
      </c>
      <c r="D143" s="6">
        <f t="shared" si="248"/>
        <v>0.3053999999999899</v>
      </c>
      <c r="E143" s="6">
        <f t="shared" si="248"/>
        <v>1.2835999999999979</v>
      </c>
      <c r="F143" s="6">
        <f t="shared" si="248"/>
        <v>0.76759999999999673</v>
      </c>
      <c r="G143" s="6">
        <f t="shared" si="248"/>
        <v>1.0710999999999999</v>
      </c>
      <c r="H143" s="6">
        <f t="shared" si="248"/>
        <v>0.59510000000000041</v>
      </c>
      <c r="I143" s="6">
        <f t="shared" si="248"/>
        <v>1.2594000000000021</v>
      </c>
      <c r="J143" s="67">
        <f t="shared" si="248"/>
        <v>0.77710000000000234</v>
      </c>
      <c r="K143" s="265">
        <f t="shared" si="248"/>
        <v>0.61709999999999376</v>
      </c>
    </row>
    <row r="144" spans="1:11" x14ac:dyDescent="0.25">
      <c r="A144" s="264" t="s">
        <v>300</v>
      </c>
      <c r="B144" s="193"/>
      <c r="C144" s="6"/>
      <c r="D144" s="6"/>
      <c r="E144" s="6"/>
      <c r="F144" s="6"/>
      <c r="G144" s="6"/>
      <c r="H144" s="6"/>
      <c r="I144" s="6"/>
      <c r="J144" s="67"/>
      <c r="K144" s="265"/>
    </row>
    <row r="145" spans="1:11" x14ac:dyDescent="0.25">
      <c r="A145" s="264" t="s">
        <v>301</v>
      </c>
      <c r="B145" s="193"/>
      <c r="C145" s="6"/>
      <c r="D145" s="6"/>
      <c r="E145" s="6"/>
      <c r="F145" s="6"/>
      <c r="G145" s="6"/>
      <c r="H145" s="6"/>
      <c r="I145" s="6"/>
      <c r="J145" s="67"/>
      <c r="K145" s="265"/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249">SUM(B143:B146)</f>
        <v>0.70980199999998472</v>
      </c>
      <c r="C147" s="54">
        <f t="shared" si="249"/>
        <v>0.44719999999998983</v>
      </c>
      <c r="D147" s="54">
        <f t="shared" si="249"/>
        <v>0.3053999999999899</v>
      </c>
      <c r="E147" s="54">
        <f t="shared" si="249"/>
        <v>1.2835999999999979</v>
      </c>
      <c r="F147" s="54">
        <f t="shared" si="249"/>
        <v>0.76759999999999673</v>
      </c>
      <c r="G147" s="54">
        <f t="shared" si="249"/>
        <v>1.0710999999999999</v>
      </c>
      <c r="H147" s="54">
        <f t="shared" si="249"/>
        <v>0.59510000000000041</v>
      </c>
      <c r="I147" s="54">
        <f t="shared" si="249"/>
        <v>1.2594000000000021</v>
      </c>
      <c r="J147" s="186">
        <f t="shared" si="249"/>
        <v>0.77710000000000234</v>
      </c>
      <c r="K147" s="267">
        <f t="shared" si="249"/>
        <v>0.61709999999999376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250">+D143/C143-1</f>
        <v>-0.31708407871199273</v>
      </c>
      <c r="E148" s="257">
        <f t="shared" si="250"/>
        <v>3.2030124426982329</v>
      </c>
      <c r="F148" s="257">
        <f t="shared" si="250"/>
        <v>-0.40199439077594423</v>
      </c>
      <c r="G148" s="257">
        <f t="shared" si="250"/>
        <v>0.39538822303283538</v>
      </c>
      <c r="H148" s="257">
        <f t="shared" si="250"/>
        <v>-0.44440295023807264</v>
      </c>
      <c r="I148" s="257">
        <f t="shared" si="250"/>
        <v>1.1162829776508172</v>
      </c>
      <c r="J148" s="258">
        <f t="shared" si="250"/>
        <v>-0.38296013974908605</v>
      </c>
      <c r="K148" s="269">
        <f t="shared" si="250"/>
        <v>-0.20589370737357882</v>
      </c>
    </row>
    <row r="149" spans="1:11" x14ac:dyDescent="0.25">
      <c r="A149" s="268" t="s">
        <v>304</v>
      </c>
      <c r="B149" s="256"/>
      <c r="C149" s="257"/>
      <c r="D149" s="257"/>
      <c r="E149" s="257"/>
      <c r="F149" s="257"/>
      <c r="G149" s="257"/>
      <c r="H149" s="257"/>
      <c r="I149" s="257"/>
      <c r="J149" s="258"/>
      <c r="K149" s="269"/>
    </row>
    <row r="150" spans="1:11" x14ac:dyDescent="0.25">
      <c r="A150" s="268" t="s">
        <v>305</v>
      </c>
      <c r="B150" s="256"/>
      <c r="C150" s="257"/>
      <c r="D150" s="257"/>
      <c r="E150" s="257"/>
      <c r="F150" s="257"/>
      <c r="G150" s="257"/>
      <c r="H150" s="257"/>
      <c r="I150" s="257"/>
      <c r="J150" s="258"/>
      <c r="K150" s="269"/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1:Z1"/>
    <mergeCell ref="A2:Z2"/>
    <mergeCell ref="A3:Z3"/>
    <mergeCell ref="A5:L5"/>
    <mergeCell ref="N5:Z5"/>
    <mergeCell ref="N77:Z77"/>
    <mergeCell ref="A23:L23"/>
    <mergeCell ref="N23:Z23"/>
    <mergeCell ref="A41:L41"/>
    <mergeCell ref="N41:Z41"/>
    <mergeCell ref="A59:L59"/>
    <mergeCell ref="N59:Z59"/>
    <mergeCell ref="A96:K96"/>
    <mergeCell ref="A111:K111"/>
    <mergeCell ref="A126:K126"/>
    <mergeCell ref="A141:K141"/>
    <mergeCell ref="A77:L77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X154" sqref="X154:Z154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31" t="s">
        <v>17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B1" s="177" t="s">
        <v>206</v>
      </c>
    </row>
    <row r="2" spans="1:28" ht="15.75" x14ac:dyDescent="0.25">
      <c r="A2" s="331" t="s">
        <v>22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</row>
    <row r="3" spans="1:28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25" t="s">
        <v>243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7"/>
      <c r="M5" s="2"/>
      <c r="N5" s="325" t="s">
        <v>244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7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'!B401/10000</f>
        <v>14.388199999999999</v>
      </c>
      <c r="J7" s="67">
        <f>+'[3]1.CONSUMO ARGENTINA POR TIPO '!B413/10000</f>
        <v>12.1046</v>
      </c>
      <c r="K7" s="37">
        <f>+'[3]1.CONSUMO ARGENTINA POR TIPO '!B425/10000</f>
        <v>14.5138</v>
      </c>
      <c r="L7" s="7">
        <f t="shared" ref="L7" si="2">+J7/I7-1</f>
        <v>-0.15871339013914176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224.80929999999998</v>
      </c>
      <c r="X7" s="37">
        <f t="shared" si="3"/>
        <v>226.59130000000002</v>
      </c>
      <c r="Y7" s="78">
        <f>+X7/W7-1</f>
        <v>7.9267183341615866E-3</v>
      </c>
      <c r="Z7" s="7">
        <f>+POWER(X7/S7,0.2)-1</f>
        <v>9.2202521561082218E-3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'!B402/10000</f>
        <v>13.856199999999999</v>
      </c>
      <c r="J8" s="67">
        <f>+'[3]1.CONSUMO ARGENTINA POR TIPO '!B414/10000</f>
        <v>13.9244</v>
      </c>
      <c r="K8" s="37">
        <f>+'[3]1.CONSUMO ARGENTINA POR TIPO '!B426/10000</f>
        <v>13.2531</v>
      </c>
      <c r="L8" s="7">
        <f t="shared" ref="L8" si="4">+J8/I8-1</f>
        <v>4.9219843824426235E-3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5">+SUM(C7:C8)+SUM(B9:B18)</f>
        <v>201.81571299999999</v>
      </c>
      <c r="Q8" s="6">
        <f t="shared" si="5"/>
        <v>192.44149999999996</v>
      </c>
      <c r="R8" s="6">
        <f t="shared" si="5"/>
        <v>188.97130000000004</v>
      </c>
      <c r="S8" s="6">
        <f t="shared" si="5"/>
        <v>217.33330000000004</v>
      </c>
      <c r="T8" s="6">
        <f t="shared" si="5"/>
        <v>259.05600000000004</v>
      </c>
      <c r="U8" s="6">
        <f t="shared" si="5"/>
        <v>250.31540000000001</v>
      </c>
      <c r="V8" s="6">
        <f t="shared" si="5"/>
        <v>262.54419999999999</v>
      </c>
      <c r="W8" s="67">
        <f t="shared" si="5"/>
        <v>224.8775</v>
      </c>
      <c r="X8" s="37">
        <f t="shared" si="5"/>
        <v>225.92000000000002</v>
      </c>
      <c r="Y8" s="78">
        <f>+X8/W8-1</f>
        <v>4.635857300085755E-3</v>
      </c>
      <c r="Z8" s="7">
        <f>+POWER(X8/S8,0.2)-1</f>
        <v>7.7798740517511789E-3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'!B403/10000</f>
        <v>16.862100000000002</v>
      </c>
      <c r="J9" s="67">
        <f>+'[3]1.CONSUMO ARGENTINA POR TIPO '!B415/10000</f>
        <v>14.7433</v>
      </c>
      <c r="K9" s="37">
        <f>+'[3]1.CONSUMO ARGENTINA POR TIPO '!B427/10000</f>
        <v>16.894600000000001</v>
      </c>
      <c r="L9" s="7">
        <f t="shared" ref="L9" si="6">+J9/I9-1</f>
        <v>-0.12565457445988348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222.7587</v>
      </c>
      <c r="X9" s="67">
        <f t="shared" si="7"/>
        <v>228.07130000000001</v>
      </c>
      <c r="Y9" s="78">
        <f>+X9/W9-1</f>
        <v>2.384912463576061E-2</v>
      </c>
      <c r="Z9" s="7">
        <f>+POWER(X9/S9,0.2)-1</f>
        <v>8.0236180738739726E-3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'!B404/10000</f>
        <v>16.897400000000001</v>
      </c>
      <c r="J10" s="67">
        <f>+'[3]1.CONSUMO ARGENTINA POR TIPO '!B416/10000</f>
        <v>17.9559</v>
      </c>
      <c r="K10" s="37">
        <f>+'[3]1.CONSUMO ARGENTINA POR TIPO '!B428/10000</f>
        <v>20.9985</v>
      </c>
      <c r="L10" s="7">
        <f t="shared" ref="L10" si="8">+J10/I10-1</f>
        <v>6.2642773444435251E-2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9">+SUM(C7:C10)+SUM(B11:B18)</f>
        <v>197.85871299999999</v>
      </c>
      <c r="Q10" s="6">
        <f t="shared" si="9"/>
        <v>192.41769999999997</v>
      </c>
      <c r="R10" s="6">
        <f t="shared" si="9"/>
        <v>192.31569999999999</v>
      </c>
      <c r="S10" s="6">
        <f t="shared" si="9"/>
        <v>219.8742</v>
      </c>
      <c r="T10" s="6">
        <f t="shared" si="9"/>
        <v>264.41460000000001</v>
      </c>
      <c r="U10" s="6">
        <f t="shared" si="9"/>
        <v>255.0258</v>
      </c>
      <c r="V10" s="6">
        <f t="shared" si="9"/>
        <v>253.64300000000003</v>
      </c>
      <c r="W10" s="67">
        <f t="shared" si="9"/>
        <v>223.81720000000001</v>
      </c>
      <c r="X10" s="37">
        <f t="shared" si="9"/>
        <v>231.1139</v>
      </c>
      <c r="Y10" s="78">
        <f>+X10/W10-1</f>
        <v>3.2601158445374034E-2</v>
      </c>
      <c r="Z10" s="7">
        <f>+POWER(X10/S10,0.2)-1</f>
        <v>1.002089584517174E-2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'!B405/10000</f>
        <v>20.563300000000002</v>
      </c>
      <c r="J11" s="67">
        <f>+'[3]1.CONSUMO ARGENTINA POR TIPO '!B417/10000</f>
        <v>26.308199999999999</v>
      </c>
      <c r="K11" s="37"/>
      <c r="L11" s="7"/>
      <c r="M11" s="2"/>
      <c r="N11" s="42" t="s">
        <v>2</v>
      </c>
      <c r="O11" s="193">
        <f>+'[2]CONSUMO EN ARGENTINA POR COLOR'!F1159*9</f>
        <v>174.94259400000001</v>
      </c>
      <c r="P11" s="6">
        <f t="shared" ref="P11:W11" si="10">+SUM(C7:C11)+SUM(B12:B18)</f>
        <v>197.043813</v>
      </c>
      <c r="Q11" s="6">
        <f t="shared" si="10"/>
        <v>191.2817</v>
      </c>
      <c r="R11" s="6">
        <f t="shared" si="10"/>
        <v>198.09180000000001</v>
      </c>
      <c r="S11" s="6">
        <f t="shared" si="10"/>
        <v>221.81550000000001</v>
      </c>
      <c r="T11" s="6">
        <f t="shared" si="10"/>
        <v>263.24699999999996</v>
      </c>
      <c r="U11" s="6">
        <f t="shared" si="10"/>
        <v>256.20669999999996</v>
      </c>
      <c r="V11" s="6">
        <f t="shared" si="10"/>
        <v>252.71629999999999</v>
      </c>
      <c r="W11" s="67">
        <f t="shared" si="10"/>
        <v>229.56209999999999</v>
      </c>
      <c r="X11" s="37"/>
      <c r="Y11" s="78"/>
      <c r="Z11" s="7"/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'!B406/10000</f>
        <v>17.962700000000002</v>
      </c>
      <c r="J12" s="67">
        <f>+'[3]1.CONSUMO ARGENTINA POR TIPO '!B418/10000</f>
        <v>15.931800000000001</v>
      </c>
      <c r="K12" s="37"/>
      <c r="L12" s="7"/>
      <c r="M12" s="2"/>
      <c r="N12" s="42" t="s">
        <v>3</v>
      </c>
      <c r="O12" s="193">
        <f>+'[2]CONSUMO EN ARGENTINA POR COLOR'!F1160*9</f>
        <v>179.29362900000001</v>
      </c>
      <c r="P12" s="6">
        <f t="shared" ref="P12:W12" si="11">+SUM(C7:C12)+SUM(B13:B18)</f>
        <v>197.97641300000001</v>
      </c>
      <c r="Q12" s="6">
        <f t="shared" si="11"/>
        <v>190.33969999999999</v>
      </c>
      <c r="R12" s="6">
        <f t="shared" si="11"/>
        <v>200.3261</v>
      </c>
      <c r="S12" s="6">
        <f t="shared" si="11"/>
        <v>226.203</v>
      </c>
      <c r="T12" s="6">
        <f t="shared" si="11"/>
        <v>265.40269999999998</v>
      </c>
      <c r="U12" s="6">
        <f t="shared" si="11"/>
        <v>258.17650000000003</v>
      </c>
      <c r="V12" s="6">
        <f t="shared" si="11"/>
        <v>244.1241</v>
      </c>
      <c r="W12" s="67">
        <f t="shared" si="11"/>
        <v>227.53119999999998</v>
      </c>
      <c r="X12" s="37"/>
      <c r="Y12" s="78"/>
      <c r="Z12" s="7"/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'!B407/10000</f>
        <v>19.847799999999999</v>
      </c>
      <c r="J13" s="67">
        <f>+'[3]1.CONSUMO ARGENTINA POR TIPO '!B419/10000</f>
        <v>21.844100000000001</v>
      </c>
      <c r="K13" s="37"/>
      <c r="L13" s="7"/>
      <c r="M13" s="2"/>
      <c r="N13" s="42" t="s">
        <v>4</v>
      </c>
      <c r="O13" s="193">
        <f>+'[2]CONSUMO EN ARGENTINA POR COLOR'!F1161*9</f>
        <v>180.23909899999998</v>
      </c>
      <c r="P13" s="6">
        <f t="shared" ref="P13:W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229.5275</v>
      </c>
      <c r="X13" s="37"/>
      <c r="Y13" s="78"/>
      <c r="Z13" s="7"/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'!B408/10000</f>
        <v>23.720600000000001</v>
      </c>
      <c r="J14" s="67">
        <f>+'[3]1.CONSUMO ARGENTINA POR TIPO '!B420/10000</f>
        <v>23.2133</v>
      </c>
      <c r="K14" s="37"/>
      <c r="L14" s="7"/>
      <c r="M14" s="2"/>
      <c r="N14" s="42" t="s">
        <v>5</v>
      </c>
      <c r="O14" s="193">
        <f>+'[2]CONSUMO EN ARGENTINA POR COLOR'!F1162*9</f>
        <v>180.30462</v>
      </c>
      <c r="P14" s="6">
        <f t="shared" ref="P14:W14" si="13">+SUM(C7:C14)+SUM(B15:B18)</f>
        <v>194.26961299999999</v>
      </c>
      <c r="Q14" s="6">
        <f t="shared" si="13"/>
        <v>187.32490000000001</v>
      </c>
      <c r="R14" s="6">
        <f t="shared" si="13"/>
        <v>205.51159999999999</v>
      </c>
      <c r="S14" s="6">
        <f t="shared" si="13"/>
        <v>236.86849999999998</v>
      </c>
      <c r="T14" s="6">
        <f t="shared" si="13"/>
        <v>260.80160000000001</v>
      </c>
      <c r="U14" s="6">
        <f t="shared" si="13"/>
        <v>263.80119999999999</v>
      </c>
      <c r="V14" s="6">
        <f t="shared" si="13"/>
        <v>234.2321</v>
      </c>
      <c r="W14" s="67">
        <f t="shared" si="13"/>
        <v>229.02019999999999</v>
      </c>
      <c r="X14" s="37"/>
      <c r="Y14" s="78"/>
      <c r="Z14" s="7"/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'!B409/10000</f>
        <v>22.594100000000001</v>
      </c>
      <c r="J15" s="67">
        <f>+'[3]1.CONSUMO ARGENTINA POR TIPO '!B421/10000</f>
        <v>23.1845</v>
      </c>
      <c r="K15" s="37"/>
      <c r="L15" s="7"/>
      <c r="M15" s="2"/>
      <c r="N15" s="42" t="s">
        <v>6</v>
      </c>
      <c r="O15" s="193">
        <f>+'[2]CONSUMO EN ARGENTINA POR COLOR'!F1163*9</f>
        <v>181.537193</v>
      </c>
      <c r="P15" s="6">
        <f t="shared" ref="P15:W15" si="14">+SUM(C7:C15)+SUM(B16:B18)</f>
        <v>188.851913</v>
      </c>
      <c r="Q15" s="6">
        <f t="shared" si="14"/>
        <v>188.43710000000002</v>
      </c>
      <c r="R15" s="6">
        <f t="shared" si="14"/>
        <v>207.65600000000001</v>
      </c>
      <c r="S15" s="6">
        <f t="shared" si="14"/>
        <v>242.81959999999998</v>
      </c>
      <c r="T15" s="6">
        <f t="shared" si="14"/>
        <v>254.67570000000001</v>
      </c>
      <c r="U15" s="6">
        <f t="shared" si="14"/>
        <v>269.57710000000003</v>
      </c>
      <c r="V15" s="6">
        <f t="shared" si="14"/>
        <v>230.30539999999999</v>
      </c>
      <c r="W15" s="67">
        <f t="shared" si="14"/>
        <v>229.61060000000001</v>
      </c>
      <c r="X15" s="37"/>
      <c r="Y15" s="78"/>
      <c r="Z15" s="7"/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'!B410/10000</f>
        <v>21.883299999999998</v>
      </c>
      <c r="J16" s="67">
        <f>+'[3]1.CONSUMO ARGENTINA POR TIPO '!B422/10000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183.53897699999999</v>
      </c>
      <c r="P16" s="6">
        <f t="shared" ref="P16:W16" si="15">+SUM(C7:C16)+SUM(B17:B18)</f>
        <v>189.84191300000003</v>
      </c>
      <c r="Q16" s="6">
        <f t="shared" si="15"/>
        <v>186.02019999999999</v>
      </c>
      <c r="R16" s="6">
        <f t="shared" si="15"/>
        <v>211.13499999999999</v>
      </c>
      <c r="S16" s="6">
        <f t="shared" si="15"/>
        <v>245.13920000000002</v>
      </c>
      <c r="T16" s="6">
        <f t="shared" si="15"/>
        <v>249.50889999999998</v>
      </c>
      <c r="U16" s="6">
        <f t="shared" si="15"/>
        <v>273.34580000000005</v>
      </c>
      <c r="V16" s="6">
        <f t="shared" si="15"/>
        <v>228.48469999999998</v>
      </c>
      <c r="W16" s="67">
        <f t="shared" si="15"/>
        <v>226.90040000000002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'!B411/10000</f>
        <v>21.8248</v>
      </c>
      <c r="J17" s="67">
        <f>+'[3]1.CONSUMO ARGENTINA POR TIPO '!B423/10000</f>
        <v>20.632999999999999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16">+SUM(C7:C17)+SUM(B18)</f>
        <v>190.66301300000001</v>
      </c>
      <c r="Q17" s="6">
        <f t="shared" si="16"/>
        <v>183.18680000000001</v>
      </c>
      <c r="R17" s="6">
        <f t="shared" si="16"/>
        <v>215.15819999999999</v>
      </c>
      <c r="S17" s="6">
        <f t="shared" si="16"/>
        <v>248.5565</v>
      </c>
      <c r="T17" s="6">
        <f t="shared" si="16"/>
        <v>248.39139999999998</v>
      </c>
      <c r="U17" s="6">
        <f t="shared" si="16"/>
        <v>274.24170000000004</v>
      </c>
      <c r="V17" s="6">
        <f t="shared" si="16"/>
        <v>226.17589999999998</v>
      </c>
      <c r="W17" s="67">
        <f t="shared" si="16"/>
        <v>225.70860000000002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'!B412/10000</f>
        <v>16.692399999999999</v>
      </c>
      <c r="J18" s="67">
        <f>+'[3]1.CONSUMO ARGENTINA POR TIPO '!B424/10000</f>
        <v>15.165900000000001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17">+SUM(C7:C18)</f>
        <v>190.700613</v>
      </c>
      <c r="Q18" s="6">
        <f t="shared" si="17"/>
        <v>186.27010000000001</v>
      </c>
      <c r="R18" s="6">
        <f t="shared" si="17"/>
        <v>216.21199999999999</v>
      </c>
      <c r="S18" s="6">
        <f t="shared" si="17"/>
        <v>250.81399999999999</v>
      </c>
      <c r="T18" s="6">
        <f t="shared" si="17"/>
        <v>250.40859999999998</v>
      </c>
      <c r="U18" s="6">
        <f t="shared" si="17"/>
        <v>268.05240000000003</v>
      </c>
      <c r="V18" s="6">
        <f t="shared" si="17"/>
        <v>227.09289999999999</v>
      </c>
      <c r="W18" s="67">
        <f t="shared" si="17"/>
        <v>224.18210000000002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18">SUM(C7:C18)</f>
        <v>190.700613</v>
      </c>
      <c r="D19" s="54">
        <f t="shared" si="18"/>
        <v>186.27010000000001</v>
      </c>
      <c r="E19" s="54">
        <f t="shared" si="18"/>
        <v>216.21199999999999</v>
      </c>
      <c r="F19" s="54">
        <f t="shared" si="18"/>
        <v>250.81399999999999</v>
      </c>
      <c r="G19" s="54">
        <f t="shared" si="18"/>
        <v>250.40859999999998</v>
      </c>
      <c r="H19" s="54">
        <f t="shared" ref="H19:I19" si="19">SUM(H7:H18)</f>
        <v>268.05240000000003</v>
      </c>
      <c r="I19" s="54">
        <f t="shared" si="19"/>
        <v>227.09289999999999</v>
      </c>
      <c r="J19" s="186">
        <f t="shared" ref="J19" si="20">SUM(J7:J18)</f>
        <v>224.18210000000002</v>
      </c>
      <c r="K19" s="186"/>
      <c r="L19" s="56"/>
      <c r="M19" s="3"/>
      <c r="N19" s="43" t="s">
        <v>14</v>
      </c>
      <c r="O19" s="238">
        <f t="shared" ref="O19" si="21">+AVERAGE(O7:O18)</f>
        <v>178.82120283333333</v>
      </c>
      <c r="P19" s="46">
        <f>+AVERAGE(P7:P18)</f>
        <v>196.03323799999998</v>
      </c>
      <c r="Q19" s="46">
        <f t="shared" ref="Q19:T19" si="22">+AVERAGE(Q7:Q18)</f>
        <v>189.0905416666667</v>
      </c>
      <c r="R19" s="46">
        <f t="shared" si="22"/>
        <v>201.54150000000001</v>
      </c>
      <c r="S19" s="46">
        <f t="shared" si="22"/>
        <v>231.48541666666665</v>
      </c>
      <c r="T19" s="46">
        <f t="shared" si="22"/>
        <v>257.76966666666664</v>
      </c>
      <c r="U19" s="226">
        <f t="shared" ref="U19:V19" si="23">+AVERAGE(U7:U18)</f>
        <v>261.02770833333335</v>
      </c>
      <c r="V19" s="226">
        <f t="shared" si="23"/>
        <v>243.52431666666669</v>
      </c>
      <c r="W19" s="220">
        <f t="shared" ref="W19:X19" si="24">+AVERAGE(W7:W18)</f>
        <v>226.52544999999998</v>
      </c>
      <c r="X19" s="197">
        <f t="shared" si="24"/>
        <v>227.924125</v>
      </c>
      <c r="Y19" s="79">
        <f>+X19/W19-1</f>
        <v>6.174471786724256E-3</v>
      </c>
      <c r="Z19" s="75">
        <f>+POWER(X19/S19,0.2)-1</f>
        <v>-3.0960150503189787E-3</v>
      </c>
    </row>
    <row r="20" spans="1:26" ht="25.5" x14ac:dyDescent="0.25">
      <c r="A20" s="57" t="s">
        <v>15</v>
      </c>
      <c r="B20" s="195">
        <f t="shared" ref="B20:G20" si="25">+B19/B$163</f>
        <v>0.21855000116817716</v>
      </c>
      <c r="C20" s="58">
        <f t="shared" si="25"/>
        <v>0.21366943640525579</v>
      </c>
      <c r="D20" s="58">
        <f t="shared" si="25"/>
        <v>0.2218552097475697</v>
      </c>
      <c r="E20" s="58">
        <f t="shared" si="25"/>
        <v>0.24423578492764775</v>
      </c>
      <c r="F20" s="58">
        <f t="shared" si="25"/>
        <v>0.26598419582131183</v>
      </c>
      <c r="G20" s="58">
        <f t="shared" si="25"/>
        <v>0.29878293091693375</v>
      </c>
      <c r="H20" s="58">
        <f t="shared" ref="H20:I20" si="26">+H19/H$163</f>
        <v>0.32388741650956776</v>
      </c>
      <c r="I20" s="58">
        <f t="shared" si="26"/>
        <v>0.29292474965179438</v>
      </c>
      <c r="J20" s="189">
        <f t="shared" ref="J20" si="27">+J19/J$163</f>
        <v>0.29397735411291143</v>
      </c>
      <c r="K20" s="189"/>
      <c r="L20" s="59"/>
      <c r="M20" s="3"/>
      <c r="N20" s="44" t="s">
        <v>15</v>
      </c>
      <c r="O20" s="239">
        <f t="shared" ref="O20:T20" si="28">+O19/O$163</f>
        <v>0.17600611429697696</v>
      </c>
      <c r="P20" s="48">
        <f t="shared" si="28"/>
        <v>0.21490148446716639</v>
      </c>
      <c r="Q20" s="48">
        <f t="shared" si="28"/>
        <v>0.21727564310707764</v>
      </c>
      <c r="R20" s="48">
        <f t="shared" si="28"/>
        <v>0.23582960780426299</v>
      </c>
      <c r="S20" s="48">
        <f t="shared" si="28"/>
        <v>0.25198853523262049</v>
      </c>
      <c r="T20" s="48">
        <f t="shared" si="28"/>
        <v>0.29172289582362015</v>
      </c>
      <c r="U20" s="58">
        <f t="shared" ref="U20:V20" si="29">+U19/U$163</f>
        <v>0.30981230561947293</v>
      </c>
      <c r="V20" s="58">
        <f t="shared" si="29"/>
        <v>0.30839600154381008</v>
      </c>
      <c r="W20" s="189">
        <f t="shared" ref="W20:X20" si="30">+W19/W$163</f>
        <v>0.29583077074459396</v>
      </c>
      <c r="X20" s="188">
        <f t="shared" si="30"/>
        <v>0.29543689473579915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31">+D19/C19-1</f>
        <v>-2.3232819917574088E-2</v>
      </c>
      <c r="E21" s="62">
        <f t="shared" si="31"/>
        <v>0.16074453173107206</v>
      </c>
      <c r="F21" s="62">
        <f t="shared" si="31"/>
        <v>0.16003737072872926</v>
      </c>
      <c r="G21" s="62">
        <f t="shared" si="31"/>
        <v>-1.616337206057139E-3</v>
      </c>
      <c r="H21" s="62">
        <f t="shared" si="31"/>
        <v>7.0460040110443822E-2</v>
      </c>
      <c r="I21" s="62">
        <f t="shared" ref="I21:J21" si="32">+I19/H19-1</f>
        <v>-0.15280407860552658</v>
      </c>
      <c r="J21" s="190">
        <f t="shared" si="32"/>
        <v>-1.2817661846759476E-2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33">+Q19/P19-1</f>
        <v>-3.5415914179478536E-2</v>
      </c>
      <c r="R21" s="50">
        <f t="shared" si="33"/>
        <v>6.5846542209827552E-2</v>
      </c>
      <c r="S21" s="50">
        <f t="shared" si="33"/>
        <v>0.14857444579238832</v>
      </c>
      <c r="T21" s="50">
        <f t="shared" si="33"/>
        <v>0.11354602971749483</v>
      </c>
      <c r="U21" s="62">
        <f t="shared" si="33"/>
        <v>1.2639352445141805E-2</v>
      </c>
      <c r="V21" s="62">
        <f t="shared" si="33"/>
        <v>-6.7055684541791116E-2</v>
      </c>
      <c r="W21" s="190">
        <f t="shared" si="33"/>
        <v>-6.9803569924126174E-2</v>
      </c>
      <c r="X21" s="187">
        <f t="shared" si="33"/>
        <v>6.174471786724256E-3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25" t="s">
        <v>245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7"/>
      <c r="M23" s="2"/>
      <c r="N23" s="325" t="s">
        <v>246</v>
      </c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7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35">+P24+1</f>
        <v>2018</v>
      </c>
      <c r="R24" s="64">
        <f t="shared" si="35"/>
        <v>2019</v>
      </c>
      <c r="S24" s="64">
        <f t="shared" si="35"/>
        <v>2020</v>
      </c>
      <c r="T24" s="64">
        <f t="shared" ref="T24" si="36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 t="shared" ref="L25" si="37">+J25/I25-1</f>
        <v>0.13513646907852528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38">+SUM(C25)+SUM(B26:B36)</f>
        <v>31.973500000000001</v>
      </c>
      <c r="Q25" s="6">
        <f t="shared" si="38"/>
        <v>28.563799999999997</v>
      </c>
      <c r="R25" s="6">
        <f t="shared" si="38"/>
        <v>32.476399999999998</v>
      </c>
      <c r="S25" s="6">
        <f t="shared" si="38"/>
        <v>35.234100000000005</v>
      </c>
      <c r="T25" s="6">
        <f t="shared" si="38"/>
        <v>39.759700000000009</v>
      </c>
      <c r="U25" s="6">
        <f t="shared" si="38"/>
        <v>37.973100000000002</v>
      </c>
      <c r="V25" s="6">
        <f t="shared" si="38"/>
        <v>39.521699999999996</v>
      </c>
      <c r="W25" s="67">
        <f t="shared" si="38"/>
        <v>31.729099999999999</v>
      </c>
      <c r="X25" s="37">
        <f t="shared" si="38"/>
        <v>35.809699999999999</v>
      </c>
      <c r="Y25" s="78">
        <f>+X25/W25-1</f>
        <v>0.12860749280628836</v>
      </c>
      <c r="Z25" s="7">
        <f>+POWER(X25/S25,0.2)-1</f>
        <v>3.2461459089667688E-3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" si="39">+J26/I26-1</f>
        <v>-5.0395624236631131E-2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40">+SUM(C25:C26)+SUM(B27:B36)</f>
        <v>32.113499999999995</v>
      </c>
      <c r="Q26" s="6">
        <f t="shared" si="40"/>
        <v>28.938600000000001</v>
      </c>
      <c r="R26" s="6">
        <f t="shared" si="40"/>
        <v>32.496799999999993</v>
      </c>
      <c r="S26" s="6">
        <f t="shared" si="40"/>
        <v>35.283299999999997</v>
      </c>
      <c r="T26" s="6">
        <f t="shared" si="40"/>
        <v>39.484000000000002</v>
      </c>
      <c r="U26" s="6">
        <f t="shared" si="40"/>
        <v>38.299300000000002</v>
      </c>
      <c r="V26" s="6">
        <f t="shared" si="40"/>
        <v>39.197699999999998</v>
      </c>
      <c r="W26" s="67">
        <f t="shared" si="40"/>
        <v>31.6342</v>
      </c>
      <c r="X26" s="37">
        <f t="shared" ref="X26" si="41">+SUM(K25:K26)+SUM(J27:J36)</f>
        <v>35.979700000000001</v>
      </c>
      <c r="Y26" s="78">
        <f>+X26/W26-1</f>
        <v>0.13736715327082716</v>
      </c>
      <c r="Z26" s="7">
        <f>+POWER(X26/S26,0.2)-1</f>
        <v>3.9166754728847675E-3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ref="L27" si="42">+J27/I27-1</f>
        <v>-4.9208691669635152E-2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43">+SUM(C25:C27)+SUM(B28:B36)</f>
        <v>31.625299999999999</v>
      </c>
      <c r="Q27" s="6">
        <f t="shared" si="43"/>
        <v>29.344000000000001</v>
      </c>
      <c r="R27" s="6">
        <f t="shared" si="43"/>
        <v>32.506699999999995</v>
      </c>
      <c r="S27" s="6">
        <f t="shared" si="43"/>
        <v>35.547499999999999</v>
      </c>
      <c r="T27" s="6">
        <f t="shared" si="43"/>
        <v>39.434699999999999</v>
      </c>
      <c r="U27" s="6">
        <f t="shared" si="43"/>
        <v>39.1402</v>
      </c>
      <c r="V27" s="6">
        <f t="shared" si="43"/>
        <v>37.566299999999998</v>
      </c>
      <c r="W27" s="67">
        <f t="shared" si="43"/>
        <v>31.537500000000001</v>
      </c>
      <c r="X27" s="67">
        <f t="shared" ref="X27" si="44">+SUM(K25:K27)+SUM(J28:J36)</f>
        <v>36.637099999999997</v>
      </c>
      <c r="Y27" s="78">
        <f>+X27/W27-1</f>
        <v>0.16169956401109764</v>
      </c>
      <c r="Z27" s="7">
        <f>+POWER(X27/S27,0.2)-1</f>
        <v>6.0565789355686572E-3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ref="L28:L29" si="45">+J28/I28-1</f>
        <v>9.4958722708796017E-2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46">+SUM(C25:C28)+SUM(B29:B36)</f>
        <v>30.603400000000001</v>
      </c>
      <c r="Q28" s="6">
        <f t="shared" si="46"/>
        <v>29.360999999999997</v>
      </c>
      <c r="R28" s="6">
        <f t="shared" si="46"/>
        <v>33.712400000000002</v>
      </c>
      <c r="S28" s="6">
        <f t="shared" si="46"/>
        <v>34.615200000000002</v>
      </c>
      <c r="T28" s="6">
        <f t="shared" si="46"/>
        <v>39.763799999999996</v>
      </c>
      <c r="U28" s="6">
        <f t="shared" si="46"/>
        <v>39.015999999999998</v>
      </c>
      <c r="V28" s="6">
        <f t="shared" si="46"/>
        <v>37.245899999999999</v>
      </c>
      <c r="W28" s="67">
        <f t="shared" si="46"/>
        <v>31.764099999999999</v>
      </c>
      <c r="X28" s="37">
        <f t="shared" ref="X28" si="47">+SUM(K25:K28)+SUM(J29:J36)</f>
        <v>37.409499999999994</v>
      </c>
      <c r="Y28" s="78">
        <f>+X28/W28-1</f>
        <v>0.17772894557062835</v>
      </c>
      <c r="Z28" s="7">
        <f>+POWER(X28/S28,0.2)-1</f>
        <v>1.5647518326651122E-2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5.1208</v>
      </c>
      <c r="K29" s="37"/>
      <c r="L29" s="7"/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48">+SUM(C25:C29)+SUM(B30:B36)</f>
        <v>30.373400000000004</v>
      </c>
      <c r="Q29" s="6">
        <f t="shared" si="48"/>
        <v>29.718800000000002</v>
      </c>
      <c r="R29" s="6">
        <f t="shared" si="48"/>
        <v>34.969200000000001</v>
      </c>
      <c r="S29" s="6">
        <f t="shared" si="48"/>
        <v>34.096699999999998</v>
      </c>
      <c r="T29" s="6">
        <f t="shared" si="48"/>
        <v>38.916699999999992</v>
      </c>
      <c r="U29" s="6">
        <f t="shared" si="48"/>
        <v>39.5304</v>
      </c>
      <c r="V29" s="6">
        <f t="shared" si="48"/>
        <v>37.247100000000003</v>
      </c>
      <c r="W29" s="67">
        <f t="shared" si="48"/>
        <v>34.109200000000001</v>
      </c>
      <c r="X29" s="37"/>
      <c r="Y29" s="78"/>
      <c r="Z29" s="7"/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/>
      <c r="L30" s="7"/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49">+SUM(C25:C30)+SUM(B31:B36)</f>
        <v>29.9114</v>
      </c>
      <c r="Q30" s="6">
        <f t="shared" si="49"/>
        <v>30.176400000000001</v>
      </c>
      <c r="R30" s="6">
        <f t="shared" si="49"/>
        <v>34.860600000000005</v>
      </c>
      <c r="S30" s="6">
        <f t="shared" si="49"/>
        <v>35.108400000000003</v>
      </c>
      <c r="T30" s="6">
        <f t="shared" si="49"/>
        <v>38.602800000000002</v>
      </c>
      <c r="U30" s="6">
        <f t="shared" si="49"/>
        <v>39.660399999999996</v>
      </c>
      <c r="V30" s="6">
        <f t="shared" si="49"/>
        <v>36.757300000000001</v>
      </c>
      <c r="W30" s="67">
        <f t="shared" si="49"/>
        <v>33.811700000000002</v>
      </c>
      <c r="X30" s="37"/>
      <c r="Y30" s="78"/>
      <c r="Z30" s="7"/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/>
      <c r="L31" s="7"/>
      <c r="M31" s="2"/>
      <c r="N31" s="42" t="s">
        <v>4</v>
      </c>
      <c r="O31" s="193">
        <f>+'[2]CONSUMO EN ARGENTINA POR COLOR'!E1161*9</f>
        <v>31.851115</v>
      </c>
      <c r="P31" s="6">
        <f t="shared" ref="P31:W31" si="50">+SUM(C25:C31)+SUM(B32:B36)</f>
        <v>29.290199999999999</v>
      </c>
      <c r="Q31" s="6">
        <f t="shared" si="50"/>
        <v>30.846300000000003</v>
      </c>
      <c r="R31" s="6">
        <f t="shared" si="50"/>
        <v>34.856300000000005</v>
      </c>
      <c r="S31" s="6">
        <f t="shared" si="50"/>
        <v>36.132099999999994</v>
      </c>
      <c r="T31" s="6">
        <f t="shared" si="50"/>
        <v>38.617699999999999</v>
      </c>
      <c r="U31" s="6">
        <f t="shared" si="50"/>
        <v>39.688600000000001</v>
      </c>
      <c r="V31" s="6">
        <f t="shared" si="50"/>
        <v>36.169799999999995</v>
      </c>
      <c r="W31" s="67">
        <f t="shared" si="50"/>
        <v>33.814999999999998</v>
      </c>
      <c r="X31" s="37"/>
      <c r="Y31" s="78"/>
      <c r="Z31" s="7"/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/>
      <c r="L32" s="7"/>
      <c r="M32" s="2"/>
      <c r="N32" s="42" t="s">
        <v>5</v>
      </c>
      <c r="O32" s="193">
        <f>+'[2]CONSUMO EN ARGENTINA POR COLOR'!E1162*9</f>
        <v>33.100735</v>
      </c>
      <c r="P32" s="6">
        <f t="shared" ref="P32:W32" si="51">+SUM(C25:C32)+SUM(B33:B36)</f>
        <v>28.245699999999999</v>
      </c>
      <c r="Q32" s="6">
        <f t="shared" si="51"/>
        <v>31.535599999999999</v>
      </c>
      <c r="R32" s="6">
        <f t="shared" si="51"/>
        <v>34.722099999999998</v>
      </c>
      <c r="S32" s="6">
        <f t="shared" si="51"/>
        <v>36.7973</v>
      </c>
      <c r="T32" s="6">
        <f t="shared" si="51"/>
        <v>39.642699999999991</v>
      </c>
      <c r="U32" s="6">
        <f t="shared" si="51"/>
        <v>39.403200000000005</v>
      </c>
      <c r="V32" s="6">
        <f t="shared" si="51"/>
        <v>34.741399999999999</v>
      </c>
      <c r="W32" s="67">
        <f t="shared" si="51"/>
        <v>34.507800000000003</v>
      </c>
      <c r="X32" s="37"/>
      <c r="Y32" s="78"/>
      <c r="Z32" s="7"/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/>
      <c r="L33" s="7"/>
      <c r="M33" s="2"/>
      <c r="N33" s="42" t="s">
        <v>6</v>
      </c>
      <c r="O33" s="193">
        <f>+'[2]CONSUMO EN ARGENTINA POR COLOR'!E1163*9</f>
        <v>32.478102</v>
      </c>
      <c r="P33" s="6">
        <f t="shared" ref="P33:W33" si="52">+SUM(C25:C33)+SUM(B34:B36)</f>
        <v>27.7668</v>
      </c>
      <c r="Q33" s="6">
        <f t="shared" si="52"/>
        <v>31.259900000000002</v>
      </c>
      <c r="R33" s="6">
        <f t="shared" si="52"/>
        <v>34.8399</v>
      </c>
      <c r="S33" s="6">
        <f t="shared" si="52"/>
        <v>37.492100000000001</v>
      </c>
      <c r="T33" s="6">
        <f t="shared" si="52"/>
        <v>40.287799999999997</v>
      </c>
      <c r="U33" s="6">
        <f t="shared" si="52"/>
        <v>40.153300000000002</v>
      </c>
      <c r="V33" s="6">
        <f t="shared" si="52"/>
        <v>33.294499999999999</v>
      </c>
      <c r="W33" s="67">
        <f t="shared" si="52"/>
        <v>34.354100000000003</v>
      </c>
      <c r="X33" s="37"/>
      <c r="Y33" s="78"/>
      <c r="Z33" s="7"/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53">+SUM(C25:C34)+SUM(B35:B36)</f>
        <v>27.252600000000001</v>
      </c>
      <c r="Q34" s="6">
        <f t="shared" si="53"/>
        <v>31.423999999999999</v>
      </c>
      <c r="R34" s="6">
        <f t="shared" si="53"/>
        <v>34.769199999999998</v>
      </c>
      <c r="S34" s="6">
        <f t="shared" si="53"/>
        <v>38.353399999999993</v>
      </c>
      <c r="T34" s="6">
        <f t="shared" si="53"/>
        <v>39.882899999999992</v>
      </c>
      <c r="U34" s="6">
        <f t="shared" si="53"/>
        <v>39.926700000000004</v>
      </c>
      <c r="V34" s="6">
        <f t="shared" si="53"/>
        <v>32.364899999999999</v>
      </c>
      <c r="W34" s="67">
        <f t="shared" si="53"/>
        <v>34.896300000000004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54">+SUM(C25:C35)+SUM(B36)</f>
        <v>26.959700000000002</v>
      </c>
      <c r="Q35" s="6">
        <f t="shared" si="54"/>
        <v>31.8047</v>
      </c>
      <c r="R35" s="6">
        <f t="shared" si="54"/>
        <v>35.367699999999999</v>
      </c>
      <c r="S35" s="6">
        <f t="shared" si="54"/>
        <v>39.640900000000002</v>
      </c>
      <c r="T35" s="6">
        <f t="shared" si="54"/>
        <v>37.819899999999997</v>
      </c>
      <c r="U35" s="6">
        <f t="shared" si="54"/>
        <v>40.679600000000001</v>
      </c>
      <c r="V35" s="6">
        <f t="shared" si="54"/>
        <v>31.200799999999997</v>
      </c>
      <c r="W35" s="67">
        <f t="shared" si="54"/>
        <v>35.571300000000001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55">+SUM(C25:C36)</f>
        <v>27.9239</v>
      </c>
      <c r="Q36" s="6">
        <f t="shared" si="55"/>
        <v>32.0869</v>
      </c>
      <c r="R36" s="6">
        <f t="shared" si="55"/>
        <v>35.248800000000003</v>
      </c>
      <c r="S36" s="6">
        <f t="shared" si="55"/>
        <v>39.857500000000002</v>
      </c>
      <c r="T36" s="6">
        <f t="shared" si="55"/>
        <v>37.680999999999997</v>
      </c>
      <c r="U36" s="6">
        <f t="shared" si="55"/>
        <v>39.996699999999997</v>
      </c>
      <c r="V36" s="6">
        <f t="shared" ref="V36:W36" si="56">+SUM(I25:I36)</f>
        <v>31.455299999999998</v>
      </c>
      <c r="W36" s="67">
        <f t="shared" si="56"/>
        <v>35.4709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57">SUM(G25:G36)</f>
        <v>37.680999999999997</v>
      </c>
      <c r="H37" s="54">
        <f t="shared" si="57"/>
        <v>39.996699999999997</v>
      </c>
      <c r="I37" s="54">
        <f t="shared" ref="I37:J37" si="58">SUM(I25:I36)</f>
        <v>31.455299999999998</v>
      </c>
      <c r="J37" s="186">
        <f t="shared" si="58"/>
        <v>35.4709</v>
      </c>
      <c r="K37" s="186"/>
      <c r="L37" s="56"/>
      <c r="M37" s="3"/>
      <c r="N37" s="43" t="s">
        <v>14</v>
      </c>
      <c r="O37" s="238">
        <f t="shared" ref="O37:X37" si="59">+AVERAGE(O25:O36)</f>
        <v>31.727990916666666</v>
      </c>
      <c r="P37" s="46">
        <f t="shared" si="59"/>
        <v>29.503283333333332</v>
      </c>
      <c r="Q37" s="46">
        <f t="shared" si="59"/>
        <v>30.421666666666667</v>
      </c>
      <c r="R37" s="46">
        <f t="shared" si="59"/>
        <v>34.235508333333335</v>
      </c>
      <c r="S37" s="46">
        <f t="shared" si="59"/>
        <v>36.513208333333331</v>
      </c>
      <c r="T37" s="46">
        <f t="shared" si="59"/>
        <v>39.157808333333335</v>
      </c>
      <c r="U37" s="226">
        <f t="shared" si="59"/>
        <v>39.455624999999998</v>
      </c>
      <c r="V37" s="226">
        <f t="shared" si="59"/>
        <v>35.56355833333334</v>
      </c>
      <c r="W37" s="220">
        <f t="shared" si="59"/>
        <v>33.600099999999998</v>
      </c>
      <c r="X37" s="197">
        <f t="shared" si="59"/>
        <v>36.459000000000003</v>
      </c>
      <c r="Y37" s="79">
        <f>+X37/W37-1</f>
        <v>8.5086056291499235E-2</v>
      </c>
      <c r="Z37" s="75">
        <f>+POWER(X37/S37,0.2)-1</f>
        <v>-2.9710100032587228E-4</v>
      </c>
    </row>
    <row r="38" spans="1:26" ht="25.5" x14ac:dyDescent="0.25">
      <c r="A38" s="57" t="s">
        <v>15</v>
      </c>
      <c r="B38" s="195">
        <f t="shared" ref="B38:H38" si="60">+B37/B$163</f>
        <v>3.4222174551154477E-2</v>
      </c>
      <c r="C38" s="58">
        <f t="shared" si="60"/>
        <v>3.1287177746181248E-2</v>
      </c>
      <c r="D38" s="58">
        <f t="shared" si="60"/>
        <v>3.8216793407258032E-2</v>
      </c>
      <c r="E38" s="58">
        <f t="shared" si="60"/>
        <v>3.9817486243860986E-2</v>
      </c>
      <c r="F38" s="58">
        <f t="shared" si="60"/>
        <v>4.2268234966740044E-2</v>
      </c>
      <c r="G38" s="58">
        <f t="shared" si="60"/>
        <v>4.4960275405401338E-2</v>
      </c>
      <c r="H38" s="58">
        <f t="shared" si="60"/>
        <v>4.8327968083509885E-2</v>
      </c>
      <c r="I38" s="58">
        <f t="shared" ref="I38:J38" si="61">+I37/I$163</f>
        <v>4.0573861524169572E-2</v>
      </c>
      <c r="J38" s="189">
        <f t="shared" si="61"/>
        <v>4.6514156705658782E-2</v>
      </c>
      <c r="K38" s="189"/>
      <c r="L38" s="59"/>
      <c r="M38" s="3"/>
      <c r="N38" s="44" t="s">
        <v>15</v>
      </c>
      <c r="O38" s="239">
        <f t="shared" ref="O38:W38" si="62">+O37/O$163</f>
        <v>3.1228513773598941E-2</v>
      </c>
      <c r="P38" s="48">
        <f t="shared" si="62"/>
        <v>3.2342981474339283E-2</v>
      </c>
      <c r="Q38" s="48">
        <f t="shared" si="62"/>
        <v>3.4956202098364149E-2</v>
      </c>
      <c r="R38" s="48">
        <f t="shared" si="62"/>
        <v>4.0059970295098418E-2</v>
      </c>
      <c r="S38" s="48">
        <f t="shared" si="62"/>
        <v>3.9747254997965005E-2</v>
      </c>
      <c r="T38" s="48">
        <f t="shared" si="62"/>
        <v>4.4315645781076989E-2</v>
      </c>
      <c r="U38" s="58">
        <f t="shared" si="62"/>
        <v>4.6829657391380952E-2</v>
      </c>
      <c r="V38" s="58">
        <f t="shared" si="62"/>
        <v>4.5037223965122365E-2</v>
      </c>
      <c r="W38" s="189">
        <f t="shared" si="62"/>
        <v>4.3880029727765391E-2</v>
      </c>
      <c r="X38" s="188">
        <f t="shared" ref="X38" si="63">+X37/X$163</f>
        <v>4.7258418761824801E-2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64">+D37/C37-1</f>
        <v>0.14908375979000077</v>
      </c>
      <c r="E39" s="62">
        <f t="shared" si="64"/>
        <v>9.8541772499057378E-2</v>
      </c>
      <c r="F39" s="62">
        <f t="shared" si="64"/>
        <v>0.13074771339733537</v>
      </c>
      <c r="G39" s="62">
        <f t="shared" si="64"/>
        <v>-5.4607037571347994E-2</v>
      </c>
      <c r="H39" s="62">
        <f t="shared" si="64"/>
        <v>6.1455375388126621E-2</v>
      </c>
      <c r="I39" s="62">
        <f t="shared" si="64"/>
        <v>-0.21355261809099246</v>
      </c>
      <c r="J39" s="190">
        <f t="shared" si="64"/>
        <v>0.1276605214383586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65">+Q37/P37-1</f>
        <v>3.1128173869914066E-2</v>
      </c>
      <c r="R39" s="50">
        <f t="shared" si="65"/>
        <v>0.12536596723826232</v>
      </c>
      <c r="S39" s="50">
        <f t="shared" si="65"/>
        <v>6.6530339722816967E-2</v>
      </c>
      <c r="T39" s="50">
        <f t="shared" ref="T39" si="66">+T37/S37-1</f>
        <v>7.2428584633186466E-2</v>
      </c>
      <c r="U39" s="62">
        <f t="shared" ref="U39" si="67">+U37/T37-1</f>
        <v>7.6055499360812018E-3</v>
      </c>
      <c r="V39" s="62">
        <f t="shared" ref="V39" si="68">+V37/U37-1</f>
        <v>-9.8644151921726153E-2</v>
      </c>
      <c r="W39" s="190">
        <f t="shared" ref="W39:X39" si="69">+W37/V37-1</f>
        <v>-5.5209839097934532E-2</v>
      </c>
      <c r="X39" s="187">
        <f t="shared" si="69"/>
        <v>8.5086056291499235E-2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25" t="s">
        <v>247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7"/>
      <c r="M41" s="2"/>
      <c r="N41" s="325" t="s">
        <v>248</v>
      </c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7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70">+C42+1</f>
        <v>2018</v>
      </c>
      <c r="E42" s="39">
        <f t="shared" si="70"/>
        <v>2019</v>
      </c>
      <c r="F42" s="39">
        <f t="shared" si="70"/>
        <v>2020</v>
      </c>
      <c r="G42" s="39">
        <f t="shared" si="70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71">+P42+1</f>
        <v>2018</v>
      </c>
      <c r="R42" s="64">
        <f t="shared" si="71"/>
        <v>2019</v>
      </c>
      <c r="S42" s="64">
        <f t="shared" si="71"/>
        <v>2020</v>
      </c>
      <c r="T42" s="64">
        <f t="shared" ref="T42" si="72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 t="shared" ref="L43" si="73">+J43/I43-1</f>
        <v>-0.19011166110279731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74">+SUM(C43)+SUM(B44:B54)</f>
        <v>43.140362000000003</v>
      </c>
      <c r="Q43" s="6">
        <f t="shared" si="74"/>
        <v>37.814999999999998</v>
      </c>
      <c r="R43" s="6">
        <f t="shared" si="74"/>
        <v>30.9497</v>
      </c>
      <c r="S43" s="6">
        <f t="shared" si="74"/>
        <v>27.938499999999998</v>
      </c>
      <c r="T43" s="6">
        <f t="shared" si="74"/>
        <v>24.949400000000001</v>
      </c>
      <c r="U43" s="6">
        <f t="shared" si="74"/>
        <v>31.761900000000001</v>
      </c>
      <c r="V43" s="6">
        <f t="shared" si="74"/>
        <v>36.028799999999997</v>
      </c>
      <c r="W43" s="67">
        <f t="shared" si="74"/>
        <v>31.4314</v>
      </c>
      <c r="X43" s="37">
        <f t="shared" si="74"/>
        <v>24.187500000000004</v>
      </c>
      <c r="Y43" s="78">
        <f>+X43/W43-1</f>
        <v>-0.23046698524405518</v>
      </c>
      <c r="Z43" s="7">
        <f>+POWER(X43/S43,0.2)-1</f>
        <v>-2.8422207773740715E-2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" si="75">+J44/I44-1</f>
        <v>-0.24219201850780792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76">+SUM(C43:C44)+SUM(B45:B54)</f>
        <v>42.358662000000002</v>
      </c>
      <c r="Q44" s="6">
        <f t="shared" si="76"/>
        <v>37.933</v>
      </c>
      <c r="R44" s="6">
        <f t="shared" si="76"/>
        <v>30.678799999999995</v>
      </c>
      <c r="S44" s="6">
        <f t="shared" si="76"/>
        <v>27.749499999999998</v>
      </c>
      <c r="T44" s="6">
        <f t="shared" si="76"/>
        <v>25.303000000000001</v>
      </c>
      <c r="U44" s="6">
        <f t="shared" si="76"/>
        <v>32.237200000000001</v>
      </c>
      <c r="V44" s="6">
        <f t="shared" si="76"/>
        <v>35.324600000000004</v>
      </c>
      <c r="W44" s="67">
        <f t="shared" si="76"/>
        <v>31.096399999999999</v>
      </c>
      <c r="X44" s="37">
        <f t="shared" ref="X44" si="77">+SUM(K43:K44)+SUM(J45:J54)</f>
        <v>24.325899999999997</v>
      </c>
      <c r="Y44" s="78">
        <f>+X44/W44-1</f>
        <v>-0.21772616765927899</v>
      </c>
      <c r="Z44" s="7">
        <f>+POWER(X44/S44,0.2)-1</f>
        <v>-2.5991490895112435E-2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ref="L45" si="78">+J45/I45-1</f>
        <v>-0.22397279682629645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79">+SUM(C43:C45)+SUM(B46:B54)</f>
        <v>42.154199999999996</v>
      </c>
      <c r="Q45" s="6">
        <f t="shared" si="79"/>
        <v>37.479099999999995</v>
      </c>
      <c r="R45" s="6">
        <f t="shared" si="79"/>
        <v>29.408900000000003</v>
      </c>
      <c r="S45" s="6">
        <f t="shared" si="79"/>
        <v>28.057899999999997</v>
      </c>
      <c r="T45" s="6">
        <f t="shared" si="79"/>
        <v>25.741</v>
      </c>
      <c r="U45" s="6">
        <f t="shared" si="79"/>
        <v>32.689900000000002</v>
      </c>
      <c r="V45" s="6">
        <f t="shared" si="79"/>
        <v>34.8035</v>
      </c>
      <c r="W45" s="67">
        <f t="shared" si="79"/>
        <v>30.7012</v>
      </c>
      <c r="X45" s="67">
        <f t="shared" ref="X45" si="80">+SUM(K43:K45)+SUM(J46:J54)</f>
        <v>23.964500000000001</v>
      </c>
      <c r="Y45" s="78">
        <f>+X45/W45-1</f>
        <v>-0.219427905098172</v>
      </c>
      <c r="Z45" s="7">
        <f>+POWER(X45/S45,0.2)-1</f>
        <v>-3.1047155848641705E-2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ref="L46" si="81">+J46/I46-1</f>
        <v>-0.33625667284017879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W46" si="82">+SUM(C43:C46)+SUM(B47:B54)</f>
        <v>42.0017</v>
      </c>
      <c r="Q46" s="6">
        <f t="shared" si="82"/>
        <v>37.236199999999997</v>
      </c>
      <c r="R46" s="6">
        <f t="shared" si="82"/>
        <v>28.2057</v>
      </c>
      <c r="S46" s="6">
        <f t="shared" si="82"/>
        <v>27.9818</v>
      </c>
      <c r="T46" s="6">
        <f t="shared" si="82"/>
        <v>26.947400000000002</v>
      </c>
      <c r="U46" s="6">
        <f t="shared" si="82"/>
        <v>32.9664</v>
      </c>
      <c r="V46" s="6">
        <f t="shared" si="82"/>
        <v>34.1646</v>
      </c>
      <c r="W46" s="67">
        <f t="shared" si="82"/>
        <v>30.083899999999996</v>
      </c>
      <c r="X46" s="37">
        <f t="shared" ref="X46" si="83">+SUM(K43:K46)+SUM(J47:J54)</f>
        <v>24.561299999999999</v>
      </c>
      <c r="Y46" s="78">
        <f>+X46/W46-1</f>
        <v>-0.18357327341202434</v>
      </c>
      <c r="Z46" s="7">
        <f>+POWER(X46/S46,0.2)-1</f>
        <v>-2.5739398454437179E-2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1.3368</v>
      </c>
      <c r="K47" s="37"/>
      <c r="L47" s="7"/>
      <c r="M47" s="2"/>
      <c r="N47" s="42" t="s">
        <v>2</v>
      </c>
      <c r="O47" s="193">
        <f>+'[2]CONSUMO EN ARGENTINA POR COLOR'!H1159*9</f>
        <v>43.978045000000002</v>
      </c>
      <c r="P47" s="6">
        <f t="shared" ref="P47:W47" si="84">+SUM(C43:C47)+SUM(B48:B54)</f>
        <v>41.879799999999996</v>
      </c>
      <c r="Q47" s="6">
        <f t="shared" si="84"/>
        <v>36.448900000000002</v>
      </c>
      <c r="R47" s="6">
        <f t="shared" si="84"/>
        <v>27.762500000000003</v>
      </c>
      <c r="S47" s="6">
        <f t="shared" si="84"/>
        <v>27.126099999999997</v>
      </c>
      <c r="T47" s="6">
        <f t="shared" si="84"/>
        <v>28.352399999999999</v>
      </c>
      <c r="U47" s="6">
        <f t="shared" si="84"/>
        <v>33.389800000000001</v>
      </c>
      <c r="V47" s="6">
        <f t="shared" si="84"/>
        <v>34.121299999999998</v>
      </c>
      <c r="W47" s="67">
        <f t="shared" si="84"/>
        <v>28.605399999999996</v>
      </c>
      <c r="X47" s="37"/>
      <c r="Y47" s="78"/>
      <c r="Z47" s="7"/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/>
      <c r="L48" s="7"/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85">+SUM(C43:C48)+SUM(B49:B54)</f>
        <v>42.271500000000003</v>
      </c>
      <c r="Q48" s="6">
        <f t="shared" si="85"/>
        <v>35.462899999999998</v>
      </c>
      <c r="R48" s="6">
        <f t="shared" si="85"/>
        <v>27.385100000000001</v>
      </c>
      <c r="S48" s="6">
        <f t="shared" si="85"/>
        <v>27.108699999999999</v>
      </c>
      <c r="T48" s="6">
        <f t="shared" si="85"/>
        <v>28.685400000000001</v>
      </c>
      <c r="U48" s="6">
        <f t="shared" si="85"/>
        <v>33.751600000000003</v>
      </c>
      <c r="V48" s="6">
        <f t="shared" si="85"/>
        <v>33.9084</v>
      </c>
      <c r="W48" s="67">
        <f t="shared" si="85"/>
        <v>27.198499999999996</v>
      </c>
      <c r="X48" s="37"/>
      <c r="Y48" s="78"/>
      <c r="Z48" s="7"/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/>
      <c r="L49" s="7"/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86">+SUM(C43:C49)+SUM(B50:B54)</f>
        <v>42.3994</v>
      </c>
      <c r="Q49" s="6">
        <f t="shared" si="86"/>
        <v>34.469000000000001</v>
      </c>
      <c r="R49" s="6">
        <f t="shared" si="86"/>
        <v>27.252199999999998</v>
      </c>
      <c r="S49" s="6">
        <f t="shared" si="86"/>
        <v>27.018899999999995</v>
      </c>
      <c r="T49" s="6">
        <f t="shared" si="86"/>
        <v>29.356000000000002</v>
      </c>
      <c r="U49" s="6">
        <f t="shared" si="86"/>
        <v>33.442599999999999</v>
      </c>
      <c r="V49" s="6">
        <f t="shared" si="86"/>
        <v>33.831699999999998</v>
      </c>
      <c r="W49" s="67">
        <f t="shared" si="86"/>
        <v>26.470700000000001</v>
      </c>
      <c r="X49" s="37"/>
      <c r="Y49" s="78"/>
      <c r="Z49" s="7"/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/>
      <c r="L50" s="7"/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87">+SUM(C43:C50)+SUM(B51:B54)</f>
        <v>41.507399999999997</v>
      </c>
      <c r="Q50" s="6">
        <f t="shared" si="87"/>
        <v>34.3294</v>
      </c>
      <c r="R50" s="6">
        <f t="shared" si="87"/>
        <v>26.64</v>
      </c>
      <c r="S50" s="6">
        <f t="shared" si="87"/>
        <v>27.024900000000002</v>
      </c>
      <c r="T50" s="6">
        <f t="shared" si="87"/>
        <v>29.615900000000003</v>
      </c>
      <c r="U50" s="6">
        <f t="shared" si="87"/>
        <v>35.164900000000003</v>
      </c>
      <c r="V50" s="6">
        <f t="shared" si="87"/>
        <v>32.988600000000005</v>
      </c>
      <c r="W50" s="67">
        <f t="shared" si="87"/>
        <v>25.047400000000003</v>
      </c>
      <c r="X50" s="37"/>
      <c r="Y50" s="78"/>
      <c r="Z50" s="7"/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/>
      <c r="L51" s="7"/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88">+SUM(C43:C51)+SUM(B52:B54)</f>
        <v>40.406300000000002</v>
      </c>
      <c r="Q51" s="6">
        <f t="shared" si="88"/>
        <v>33.084400000000002</v>
      </c>
      <c r="R51" s="6">
        <f t="shared" si="88"/>
        <v>26.801200000000001</v>
      </c>
      <c r="S51" s="6">
        <f t="shared" si="88"/>
        <v>26.893699999999999</v>
      </c>
      <c r="T51" s="6">
        <f t="shared" si="88"/>
        <v>29.5764</v>
      </c>
      <c r="U51" s="6">
        <f t="shared" si="88"/>
        <v>36.673300000000005</v>
      </c>
      <c r="V51" s="6">
        <f t="shared" si="88"/>
        <v>32.137600000000006</v>
      </c>
      <c r="W51" s="67">
        <f t="shared" si="88"/>
        <v>24.626100000000001</v>
      </c>
      <c r="X51" s="37"/>
      <c r="Y51" s="78"/>
      <c r="Z51" s="7"/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89">+SUM(C43:C52)+SUM(B53:B54)</f>
        <v>39.699399999999997</v>
      </c>
      <c r="Q52" s="6">
        <f t="shared" si="89"/>
        <v>32.552700000000002</v>
      </c>
      <c r="R52" s="6">
        <f t="shared" si="89"/>
        <v>26.7318</v>
      </c>
      <c r="S52" s="6">
        <f t="shared" si="89"/>
        <v>26.015799999999999</v>
      </c>
      <c r="T52" s="6">
        <f t="shared" si="89"/>
        <v>29.564200000000003</v>
      </c>
      <c r="U52" s="6">
        <f t="shared" si="89"/>
        <v>37.88000000000001</v>
      </c>
      <c r="V52" s="6">
        <f t="shared" si="89"/>
        <v>32.312200000000004</v>
      </c>
      <c r="W52" s="67">
        <f t="shared" si="89"/>
        <v>24.158799999999999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90">+SUM(C43:C53)+SUM(B54)</f>
        <v>39.317999999999998</v>
      </c>
      <c r="Q53" s="6">
        <f t="shared" si="90"/>
        <v>31.293799999999997</v>
      </c>
      <c r="R53" s="6">
        <f t="shared" si="90"/>
        <v>27.416699999999999</v>
      </c>
      <c r="S53" s="6">
        <f t="shared" si="90"/>
        <v>25.599299999999999</v>
      </c>
      <c r="T53" s="6">
        <f t="shared" si="90"/>
        <v>30.319900000000004</v>
      </c>
      <c r="U53" s="6">
        <f t="shared" si="90"/>
        <v>37.126500000000007</v>
      </c>
      <c r="V53" s="6">
        <f t="shared" si="90"/>
        <v>32.095600000000005</v>
      </c>
      <c r="W53" s="67">
        <f t="shared" si="90"/>
        <v>24.641000000000002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91">+SUM(C43:C54)</f>
        <v>38.157799999999995</v>
      </c>
      <c r="Q54" s="6">
        <f t="shared" si="91"/>
        <v>30.912999999999997</v>
      </c>
      <c r="R54" s="6">
        <f t="shared" si="91"/>
        <v>28.068799999999996</v>
      </c>
      <c r="S54" s="6">
        <f t="shared" si="91"/>
        <v>25.016200000000001</v>
      </c>
      <c r="T54" s="6">
        <f t="shared" si="91"/>
        <v>31.789900000000003</v>
      </c>
      <c r="U54" s="6">
        <f t="shared" si="91"/>
        <v>35.881400000000006</v>
      </c>
      <c r="V54" s="6">
        <f t="shared" ref="V54:W54" si="92">+SUM(I43:I54)</f>
        <v>31.761700000000001</v>
      </c>
      <c r="W54" s="67">
        <f t="shared" si="92"/>
        <v>24.401100000000003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93">SUM(C43:C54)</f>
        <v>38.157799999999995</v>
      </c>
      <c r="D55" s="54">
        <f t="shared" si="93"/>
        <v>30.912999999999997</v>
      </c>
      <c r="E55" s="54">
        <f t="shared" si="93"/>
        <v>28.068799999999996</v>
      </c>
      <c r="F55" s="54">
        <f t="shared" si="93"/>
        <v>25.016200000000001</v>
      </c>
      <c r="G55" s="54">
        <f t="shared" si="93"/>
        <v>31.789900000000003</v>
      </c>
      <c r="H55" s="54">
        <f t="shared" si="93"/>
        <v>35.881400000000006</v>
      </c>
      <c r="I55" s="54">
        <f t="shared" ref="I55:J55" si="94">SUM(I43:I54)</f>
        <v>31.761700000000001</v>
      </c>
      <c r="J55" s="186">
        <f t="shared" si="94"/>
        <v>24.401100000000003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95">+AVERAGE(Q43:Q54)</f>
        <v>34.91811666666667</v>
      </c>
      <c r="R55" s="46">
        <f t="shared" si="95"/>
        <v>28.108450000000001</v>
      </c>
      <c r="S55" s="46">
        <f t="shared" si="95"/>
        <v>26.960941666666667</v>
      </c>
      <c r="T55" s="46">
        <f t="shared" si="95"/>
        <v>28.350075000000004</v>
      </c>
      <c r="U55" s="226">
        <f t="shared" si="95"/>
        <v>34.413791666666661</v>
      </c>
      <c r="V55" s="226">
        <f t="shared" si="95"/>
        <v>33.623216666666671</v>
      </c>
      <c r="W55" s="220">
        <f t="shared" si="95"/>
        <v>27.371825000000001</v>
      </c>
      <c r="X55" s="197">
        <f t="shared" si="95"/>
        <v>24.259800000000002</v>
      </c>
      <c r="Y55" s="79">
        <f>+X55/W55-1</f>
        <v>-0.1136944650201438</v>
      </c>
      <c r="Z55" s="75">
        <f>+POWER(X55/S55,0.2)-1</f>
        <v>-2.0892376923613454E-2</v>
      </c>
    </row>
    <row r="56" spans="1:26" ht="25.5" x14ac:dyDescent="0.25">
      <c r="A56" s="57" t="s">
        <v>15</v>
      </c>
      <c r="B56" s="195">
        <f t="shared" ref="B56:H56" si="96">+B55/B$163</f>
        <v>4.6230251965192572E-2</v>
      </c>
      <c r="C56" s="58">
        <f t="shared" si="96"/>
        <v>4.2753693825118795E-2</v>
      </c>
      <c r="D56" s="58">
        <f t="shared" si="96"/>
        <v>3.6818631111094166E-2</v>
      </c>
      <c r="E56" s="58">
        <f t="shared" si="96"/>
        <v>3.1706868258825405E-2</v>
      </c>
      <c r="F56" s="58">
        <f t="shared" si="96"/>
        <v>2.6529276035249634E-2</v>
      </c>
      <c r="G56" s="58">
        <f t="shared" si="96"/>
        <v>3.7931123354214807E-2</v>
      </c>
      <c r="H56" s="58">
        <f t="shared" si="96"/>
        <v>4.3355455674884476E-2</v>
      </c>
      <c r="I56" s="58">
        <f t="shared" ref="I56:J56" si="97">+I55/I$163</f>
        <v>4.0969083670230985E-2</v>
      </c>
      <c r="J56" s="189">
        <f t="shared" si="97"/>
        <v>3.1997964223925833E-2</v>
      </c>
      <c r="K56" s="189"/>
      <c r="L56" s="59"/>
      <c r="M56" s="3"/>
      <c r="N56" s="44" t="s">
        <v>15</v>
      </c>
      <c r="O56" s="239">
        <f t="shared" ref="O56:W56" si="98">+O55/O$163</f>
        <v>4.3234623040035704E-2</v>
      </c>
      <c r="P56" s="48">
        <f t="shared" si="98"/>
        <v>4.5247228455572157E-2</v>
      </c>
      <c r="Q56" s="48">
        <f t="shared" si="98"/>
        <v>4.0122875464666329E-2</v>
      </c>
      <c r="R56" s="48">
        <f t="shared" si="98"/>
        <v>3.2890520014417557E-2</v>
      </c>
      <c r="S56" s="48">
        <f t="shared" si="98"/>
        <v>2.9348925288276085E-2</v>
      </c>
      <c r="T56" s="48">
        <f t="shared" si="98"/>
        <v>3.2084325835404041E-2</v>
      </c>
      <c r="U56" s="58">
        <f t="shared" si="98"/>
        <v>4.084553402178677E-2</v>
      </c>
      <c r="V56" s="58">
        <f t="shared" si="98"/>
        <v>4.2580000720152014E-2</v>
      </c>
      <c r="W56" s="189">
        <f t="shared" si="98"/>
        <v>3.5746217859565659E-2</v>
      </c>
      <c r="X56" s="188">
        <f t="shared" ref="X56" si="99">+X55/X$163</f>
        <v>3.1445727734664065E-2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00">+D55/C55-1</f>
        <v>-0.18986419552489919</v>
      </c>
      <c r="E57" s="62">
        <f t="shared" si="100"/>
        <v>-9.2006599165399661E-2</v>
      </c>
      <c r="F57" s="62">
        <f t="shared" si="100"/>
        <v>-0.10875420395599367</v>
      </c>
      <c r="G57" s="62">
        <f t="shared" si="100"/>
        <v>0.27077253939447243</v>
      </c>
      <c r="H57" s="62">
        <f t="shared" si="100"/>
        <v>0.12870439982510185</v>
      </c>
      <c r="I57" s="62">
        <f t="shared" si="100"/>
        <v>-0.11481436064367623</v>
      </c>
      <c r="J57" s="190">
        <f t="shared" si="100"/>
        <v>-0.23174452249092459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01">+Q55/P55-1</f>
        <v>-0.15400356818804639</v>
      </c>
      <c r="R57" s="50">
        <f t="shared" si="101"/>
        <v>-0.19501815437736003</v>
      </c>
      <c r="S57" s="50">
        <f t="shared" si="101"/>
        <v>-4.0824319140092546E-2</v>
      </c>
      <c r="T57" s="50">
        <f t="shared" ref="T57" si="102">+T55/S55-1</f>
        <v>5.1523917469499914E-2</v>
      </c>
      <c r="U57" s="62">
        <f t="shared" ref="U57" si="103">+U55/T55-1</f>
        <v>0.21388714727092095</v>
      </c>
      <c r="V57" s="62">
        <f t="shared" ref="V57" si="104">+V55/U55-1</f>
        <v>-2.2972621199591425E-2</v>
      </c>
      <c r="W57" s="190">
        <f t="shared" ref="W57:X57" si="105">+W55/V55-1</f>
        <v>-0.18592485450281637</v>
      </c>
      <c r="X57" s="187">
        <f t="shared" si="105"/>
        <v>-0.1136944650201438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25" t="s">
        <v>249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7"/>
      <c r="M59" s="2"/>
      <c r="N59" s="325" t="s">
        <v>250</v>
      </c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7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06">+C60+1</f>
        <v>2018</v>
      </c>
      <c r="E60" s="39">
        <f t="shared" si="106"/>
        <v>2019</v>
      </c>
      <c r="F60" s="39">
        <f t="shared" si="106"/>
        <v>2020</v>
      </c>
      <c r="G60" s="39">
        <f t="shared" si="106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07">+P60+1</f>
        <v>2018</v>
      </c>
      <c r="R60" s="64">
        <f t="shared" si="107"/>
        <v>2019</v>
      </c>
      <c r="S60" s="64">
        <f t="shared" si="107"/>
        <v>2020</v>
      </c>
      <c r="T60" s="64">
        <f t="shared" ref="T60" si="108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 t="shared" ref="L61" si="109">+J61/I61-1</f>
        <v>-3.0042918454935563E-2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10">+SUM(C61)+SUM(B62:B72)</f>
        <v>234.17456199999995</v>
      </c>
      <c r="Q61" s="6">
        <f t="shared" si="110"/>
        <v>236.74299999999997</v>
      </c>
      <c r="R61" s="6">
        <f t="shared" si="110"/>
        <v>208.25040000000004</v>
      </c>
      <c r="S61" s="6">
        <f t="shared" si="110"/>
        <v>209.70920000000001</v>
      </c>
      <c r="T61" s="6">
        <f t="shared" si="110"/>
        <v>206.87150000000003</v>
      </c>
      <c r="U61" s="6">
        <f t="shared" si="110"/>
        <v>217.61579999999998</v>
      </c>
      <c r="V61" s="6">
        <f t="shared" si="110"/>
        <v>228.99469999999999</v>
      </c>
      <c r="W61" s="67">
        <f t="shared" si="110"/>
        <v>212.23920000000001</v>
      </c>
      <c r="X61" s="37">
        <f t="shared" si="110"/>
        <v>201.56870000000004</v>
      </c>
      <c r="Y61" s="78">
        <f>+X61/W61-1</f>
        <v>-5.0275820866267806E-2</v>
      </c>
      <c r="Z61" s="7">
        <f>+POWER(X61/S61,0.2)-1</f>
        <v>-7.8870413642162518E-3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" si="111">+J62/I62-1</f>
        <v>-8.000083646426559E-2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12">+SUM(C61:C62)+SUM(B63:B72)</f>
        <v>230.53656199999998</v>
      </c>
      <c r="Q62" s="6">
        <f t="shared" si="112"/>
        <v>238.35649999999998</v>
      </c>
      <c r="R62" s="6">
        <f t="shared" si="112"/>
        <v>207.84380000000002</v>
      </c>
      <c r="S62" s="6">
        <f t="shared" si="112"/>
        <v>208.81670000000003</v>
      </c>
      <c r="T62" s="6">
        <f t="shared" si="112"/>
        <v>209.02760000000004</v>
      </c>
      <c r="U62" s="6">
        <f t="shared" si="112"/>
        <v>220.01149999999998</v>
      </c>
      <c r="V62" s="6">
        <f t="shared" si="112"/>
        <v>224.91069999999999</v>
      </c>
      <c r="W62" s="67">
        <f t="shared" si="112"/>
        <v>211.0915</v>
      </c>
      <c r="X62" s="37">
        <f t="shared" ref="X62" si="113">+SUM(K61:K62)+SUM(J63:J72)</f>
        <v>203.03230000000002</v>
      </c>
      <c r="Y62" s="78">
        <f>+X62/W62-1</f>
        <v>-3.8178704495443805E-2</v>
      </c>
      <c r="Z62" s="7">
        <f>+POWER(X62/S62,0.2)-1</f>
        <v>-5.6025973773269344E-3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ref="L63" si="114">+J63/I63-1</f>
        <v>8.2984603237268084E-2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15">+SUM(C61:C63)+SUM(B64:B72)</f>
        <v>230.34799999999998</v>
      </c>
      <c r="Q63" s="6">
        <f t="shared" si="115"/>
        <v>238.47719999999998</v>
      </c>
      <c r="R63" s="6">
        <f t="shared" si="115"/>
        <v>204.16480000000001</v>
      </c>
      <c r="S63" s="6">
        <f t="shared" si="115"/>
        <v>206.78250000000003</v>
      </c>
      <c r="T63" s="6">
        <f t="shared" si="115"/>
        <v>209.2996</v>
      </c>
      <c r="U63" s="6">
        <f t="shared" si="115"/>
        <v>227.99459999999999</v>
      </c>
      <c r="V63" s="6">
        <f t="shared" si="115"/>
        <v>219.24639999999999</v>
      </c>
      <c r="W63" s="67">
        <f t="shared" si="115"/>
        <v>212.45779999999999</v>
      </c>
      <c r="X63" s="67">
        <f t="shared" ref="X63" si="116">+SUM(K61:K63)+SUM(J64:J72)</f>
        <v>198.49020000000002</v>
      </c>
      <c r="Y63" s="78">
        <f>+X63/W63-1</f>
        <v>-6.5742938127006711E-2</v>
      </c>
      <c r="Z63" s="7">
        <f>+POWER(X63/S63,0.2)-1</f>
        <v>-8.1521470668893814E-3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ref="L64" si="117">+J64/I64-1</f>
        <v>-0.13288970452929094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18">+SUM(C61:C64)+SUM(B65:B72)</f>
        <v>229.52229999999997</v>
      </c>
      <c r="Q64" s="6">
        <f t="shared" si="118"/>
        <v>235.52080000000001</v>
      </c>
      <c r="R64" s="6">
        <f t="shared" si="118"/>
        <v>202.87549999999999</v>
      </c>
      <c r="S64" s="6">
        <f t="shared" si="118"/>
        <v>205.42309999999998</v>
      </c>
      <c r="T64" s="6">
        <f t="shared" si="118"/>
        <v>213.66640000000001</v>
      </c>
      <c r="U64" s="6">
        <f t="shared" si="118"/>
        <v>228.57839999999999</v>
      </c>
      <c r="V64" s="6">
        <f t="shared" si="118"/>
        <v>219.94499999999999</v>
      </c>
      <c r="W64" s="67">
        <f t="shared" si="118"/>
        <v>209.78580000000002</v>
      </c>
      <c r="X64" s="37">
        <f t="shared" ref="X64" si="119">+SUM(K61:K64)+SUM(J65:J72)</f>
        <v>196.69929999999999</v>
      </c>
      <c r="Y64" s="78">
        <f>+X64/W64-1</f>
        <v>-6.2380294567125238E-2</v>
      </c>
      <c r="Z64" s="7">
        <f>+POWER(X64/S64,0.2)-1</f>
        <v>-8.6415627823472896E-3</v>
      </c>
    </row>
    <row r="65" spans="1:26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18.933599999999998</v>
      </c>
      <c r="K65" s="37"/>
      <c r="L65" s="7"/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20">+SUM(C61:C65)+SUM(B66:B72)</f>
        <v>234.3587</v>
      </c>
      <c r="Q65" s="6">
        <f t="shared" si="120"/>
        <v>226.87379999999999</v>
      </c>
      <c r="R65" s="6">
        <f t="shared" si="120"/>
        <v>207.06640000000002</v>
      </c>
      <c r="S65" s="6">
        <f t="shared" si="120"/>
        <v>200.65439999999998</v>
      </c>
      <c r="T65" s="6">
        <f t="shared" si="120"/>
        <v>215.1028</v>
      </c>
      <c r="U65" s="6">
        <f t="shared" si="120"/>
        <v>231.29849999999999</v>
      </c>
      <c r="V65" s="6">
        <f t="shared" si="120"/>
        <v>220.82330000000002</v>
      </c>
      <c r="W65" s="67">
        <f t="shared" si="120"/>
        <v>208.79730000000001</v>
      </c>
      <c r="X65" s="37"/>
      <c r="Y65" s="78"/>
      <c r="Z65" s="7"/>
    </row>
    <row r="66" spans="1:26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/>
      <c r="L66" s="7"/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21">+SUM(C61:C66)+SUM(B67:B72)</f>
        <v>236.34139999999999</v>
      </c>
      <c r="Q66" s="6">
        <f t="shared" si="121"/>
        <v>225.40640000000002</v>
      </c>
      <c r="R66" s="6">
        <f t="shared" si="121"/>
        <v>205.52390000000003</v>
      </c>
      <c r="S66" s="6">
        <f t="shared" si="121"/>
        <v>201.59649999999999</v>
      </c>
      <c r="T66" s="6">
        <f t="shared" si="121"/>
        <v>215.13139999999999</v>
      </c>
      <c r="U66" s="6">
        <f t="shared" si="121"/>
        <v>230.63239999999999</v>
      </c>
      <c r="V66" s="6">
        <f t="shared" si="121"/>
        <v>218.54050000000001</v>
      </c>
      <c r="W66" s="67">
        <f t="shared" si="121"/>
        <v>208.738</v>
      </c>
      <c r="X66" s="37"/>
      <c r="Y66" s="78"/>
      <c r="Z66" s="7"/>
    </row>
    <row r="67" spans="1:26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/>
      <c r="L67" s="7"/>
      <c r="M67" s="2"/>
      <c r="N67" s="42" t="s">
        <v>4</v>
      </c>
      <c r="O67" s="193">
        <f>+'[2]CONSUMO EN ARGENTINA POR COLOR'!K1161*9</f>
        <v>241.269519</v>
      </c>
      <c r="P67" s="6">
        <f t="shared" ref="P67:W67" si="122">+SUM(C61:C67)+SUM(B68:B72)</f>
        <v>238.13329999999999</v>
      </c>
      <c r="Q67" s="6">
        <f t="shared" si="122"/>
        <v>223.85580000000002</v>
      </c>
      <c r="R67" s="6">
        <f t="shared" si="122"/>
        <v>205.32010000000002</v>
      </c>
      <c r="S67" s="6">
        <f t="shared" si="122"/>
        <v>200.6095</v>
      </c>
      <c r="T67" s="6">
        <f t="shared" si="122"/>
        <v>216.92859999999999</v>
      </c>
      <c r="U67" s="6">
        <f t="shared" si="122"/>
        <v>229.91510000000002</v>
      </c>
      <c r="V67" s="6">
        <f t="shared" si="122"/>
        <v>214.2183</v>
      </c>
      <c r="W67" s="67">
        <f t="shared" si="122"/>
        <v>210.6277</v>
      </c>
      <c r="X67" s="37"/>
      <c r="Y67" s="78"/>
      <c r="Z67" s="7"/>
    </row>
    <row r="68" spans="1:26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/>
      <c r="L68" s="7"/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23">+SUM(C61:C68)+SUM(B69:B72)</f>
        <v>237.9967</v>
      </c>
      <c r="Q68" s="6">
        <f t="shared" si="123"/>
        <v>221.35760000000002</v>
      </c>
      <c r="R68" s="6">
        <f t="shared" si="123"/>
        <v>205.7277</v>
      </c>
      <c r="S68" s="6">
        <f t="shared" si="123"/>
        <v>198.01579999999998</v>
      </c>
      <c r="T68" s="6">
        <f t="shared" si="123"/>
        <v>218.42060000000001</v>
      </c>
      <c r="U68" s="6">
        <f t="shared" si="123"/>
        <v>233.98250000000002</v>
      </c>
      <c r="V68" s="6">
        <f t="shared" si="123"/>
        <v>209.06790000000001</v>
      </c>
      <c r="W68" s="67">
        <f t="shared" si="123"/>
        <v>214.12819999999999</v>
      </c>
      <c r="X68" s="37"/>
      <c r="Y68" s="78"/>
      <c r="Z68" s="7"/>
    </row>
    <row r="69" spans="1:26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/>
      <c r="L69" s="7"/>
      <c r="M69" s="2"/>
      <c r="N69" s="42" t="s">
        <v>6</v>
      </c>
      <c r="O69" s="193">
        <f>+'[2]CONSUMO EN ARGENTINA POR COLOR'!K1163*9</f>
        <v>241.561735</v>
      </c>
      <c r="P69" s="6">
        <f t="shared" ref="P69:W69" si="124">+SUM(C61:C69)+SUM(B70:B72)</f>
        <v>240.1721</v>
      </c>
      <c r="Q69" s="6">
        <f t="shared" si="124"/>
        <v>214.53390000000002</v>
      </c>
      <c r="R69" s="6">
        <f t="shared" si="124"/>
        <v>205.90469999999999</v>
      </c>
      <c r="S69" s="6">
        <f t="shared" si="124"/>
        <v>201.14159999999998</v>
      </c>
      <c r="T69" s="6">
        <f t="shared" si="124"/>
        <v>214.54480000000001</v>
      </c>
      <c r="U69" s="6">
        <f t="shared" si="124"/>
        <v>238.74900000000002</v>
      </c>
      <c r="V69" s="6">
        <f t="shared" si="124"/>
        <v>206.68959999999998</v>
      </c>
      <c r="W69" s="67">
        <f t="shared" si="124"/>
        <v>211.77340000000001</v>
      </c>
      <c r="X69" s="37"/>
      <c r="Y69" s="78"/>
      <c r="Z69" s="7"/>
    </row>
    <row r="70" spans="1:26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25">+SUM(C61:C70)+SUM(B71:B72)</f>
        <v>239.58229999999998</v>
      </c>
      <c r="Q70" s="6">
        <f t="shared" si="125"/>
        <v>210.45410000000004</v>
      </c>
      <c r="R70" s="6">
        <f t="shared" si="125"/>
        <v>207.06399999999999</v>
      </c>
      <c r="S70" s="6">
        <f t="shared" si="125"/>
        <v>202.3552</v>
      </c>
      <c r="T70" s="6">
        <f t="shared" si="125"/>
        <v>212.08440000000002</v>
      </c>
      <c r="U70" s="6">
        <f t="shared" si="125"/>
        <v>241.45370000000003</v>
      </c>
      <c r="V70" s="6">
        <f t="shared" si="125"/>
        <v>209.10469999999998</v>
      </c>
      <c r="W70" s="67">
        <f t="shared" si="125"/>
        <v>207.25</v>
      </c>
      <c r="X70" s="37"/>
      <c r="Y70" s="78"/>
      <c r="Z70" s="7"/>
    </row>
    <row r="71" spans="1:26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26">+SUM(C61:C71)+SUM(B72)</f>
        <v>237.17839999999998</v>
      </c>
      <c r="Q71" s="6">
        <f t="shared" si="126"/>
        <v>209.01200000000003</v>
      </c>
      <c r="R71" s="6">
        <f t="shared" si="126"/>
        <v>208.72159999999997</v>
      </c>
      <c r="S71" s="6">
        <f t="shared" si="126"/>
        <v>202.25830000000002</v>
      </c>
      <c r="T71" s="6">
        <f t="shared" si="126"/>
        <v>216.96250000000001</v>
      </c>
      <c r="U71" s="6">
        <f t="shared" si="126"/>
        <v>232.71350000000004</v>
      </c>
      <c r="V71" s="6">
        <f t="shared" si="126"/>
        <v>213.78169999999997</v>
      </c>
      <c r="W71" s="67">
        <f t="shared" si="126"/>
        <v>206.15430000000001</v>
      </c>
      <c r="X71" s="37"/>
      <c r="Y71" s="78"/>
      <c r="Z71" s="7"/>
    </row>
    <row r="72" spans="1:26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27">+SUM(C61:C72)</f>
        <v>235.38399999999999</v>
      </c>
      <c r="Q72" s="6">
        <f t="shared" si="127"/>
        <v>209.53330000000003</v>
      </c>
      <c r="R72" s="6">
        <f t="shared" si="127"/>
        <v>209.07989999999998</v>
      </c>
      <c r="S72" s="6">
        <f t="shared" si="127"/>
        <v>204.36700000000002</v>
      </c>
      <c r="T72" s="6">
        <f t="shared" si="127"/>
        <v>218.00280000000001</v>
      </c>
      <c r="U72" s="6">
        <f t="shared" si="127"/>
        <v>231.00080000000003</v>
      </c>
      <c r="V72" s="6">
        <f t="shared" ref="V72:W72" si="128">+SUM(I61:I72)</f>
        <v>212.72429999999997</v>
      </c>
      <c r="W72" s="67">
        <f t="shared" si="128"/>
        <v>203.59310000000002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233.44496199999998</v>
      </c>
      <c r="C73" s="54">
        <f t="shared" ref="C73:H73" si="129">SUM(C61:C72)</f>
        <v>235.38399999999999</v>
      </c>
      <c r="D73" s="54">
        <f t="shared" si="129"/>
        <v>209.53330000000003</v>
      </c>
      <c r="E73" s="54">
        <f t="shared" si="129"/>
        <v>209.07989999999998</v>
      </c>
      <c r="F73" s="54">
        <f t="shared" si="129"/>
        <v>204.36700000000002</v>
      </c>
      <c r="G73" s="54">
        <f t="shared" si="129"/>
        <v>218.00280000000001</v>
      </c>
      <c r="H73" s="54">
        <f t="shared" si="129"/>
        <v>231.00080000000003</v>
      </c>
      <c r="I73" s="54">
        <f t="shared" ref="I73:J73" si="130">SUM(I61:I72)</f>
        <v>212.72429999999997</v>
      </c>
      <c r="J73" s="186">
        <f t="shared" si="130"/>
        <v>203.59310000000002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31">+AVERAGE(Q61:Q72)</f>
        <v>224.17703333333336</v>
      </c>
      <c r="R73" s="46">
        <f t="shared" si="131"/>
        <v>206.46189999999999</v>
      </c>
      <c r="S73" s="46">
        <f t="shared" si="131"/>
        <v>203.47748333333334</v>
      </c>
      <c r="T73" s="46">
        <f t="shared" si="131"/>
        <v>213.83691666666672</v>
      </c>
      <c r="U73" s="226">
        <f t="shared" si="131"/>
        <v>230.32881666666663</v>
      </c>
      <c r="V73" s="226">
        <f t="shared" si="131"/>
        <v>216.50392499999998</v>
      </c>
      <c r="W73" s="220">
        <f t="shared" si="131"/>
        <v>209.71969166666668</v>
      </c>
      <c r="X73" s="197">
        <f t="shared" si="131"/>
        <v>199.94762500000002</v>
      </c>
      <c r="Y73" s="79">
        <f>+X73/W73-1</f>
        <v>-4.6595847004193613E-2</v>
      </c>
      <c r="Z73" s="75">
        <f>+POWER(X73/S73,0.2)-1</f>
        <v>-3.4938611127834918E-3</v>
      </c>
    </row>
    <row r="74" spans="1:26" ht="25.5" x14ac:dyDescent="0.25">
      <c r="A74" s="57" t="s">
        <v>15</v>
      </c>
      <c r="B74" s="195">
        <f t="shared" ref="B74:H74" si="132">+B73/B$163</f>
        <v>0.24791370144365457</v>
      </c>
      <c r="C74" s="58">
        <f t="shared" si="132"/>
        <v>0.26373468772653985</v>
      </c>
      <c r="D74" s="58">
        <f t="shared" si="132"/>
        <v>0.24956262019830586</v>
      </c>
      <c r="E74" s="58">
        <f t="shared" si="132"/>
        <v>0.23617927538293018</v>
      </c>
      <c r="F74" s="58">
        <f t="shared" si="132"/>
        <v>0.21672790253898921</v>
      </c>
      <c r="G74" s="58">
        <f t="shared" si="132"/>
        <v>0.26011692702286637</v>
      </c>
      <c r="H74" s="58">
        <f t="shared" si="132"/>
        <v>0.27911800947741322</v>
      </c>
      <c r="I74" s="58">
        <f t="shared" ref="I74:J74" si="133">+I73/I$163</f>
        <v>0.27439084322915069</v>
      </c>
      <c r="J74" s="189">
        <f t="shared" si="133"/>
        <v>0.26697832188049531</v>
      </c>
      <c r="K74" s="189"/>
      <c r="L74" s="59"/>
      <c r="M74" s="3"/>
      <c r="N74" s="44" t="s">
        <v>15</v>
      </c>
      <c r="O74" s="239">
        <f t="shared" ref="O74:W74" si="134">+O73/O$163</f>
        <v>0.23547558881083436</v>
      </c>
      <c r="P74" s="48">
        <f t="shared" si="134"/>
        <v>0.2579594047207715</v>
      </c>
      <c r="Q74" s="48">
        <f t="shared" si="134"/>
        <v>0.2575919908950326</v>
      </c>
      <c r="R74" s="48">
        <f t="shared" si="134"/>
        <v>0.24158711185300774</v>
      </c>
      <c r="S74" s="48">
        <f t="shared" si="134"/>
        <v>0.22149988416687136</v>
      </c>
      <c r="T74" s="48">
        <f t="shared" si="134"/>
        <v>0.24200335660387054</v>
      </c>
      <c r="U74" s="58">
        <f t="shared" si="134"/>
        <v>0.27337596532464492</v>
      </c>
      <c r="V74" s="58">
        <f t="shared" si="134"/>
        <v>0.27417773182763305</v>
      </c>
      <c r="W74" s="189">
        <f t="shared" si="134"/>
        <v>0.27388330108633979</v>
      </c>
      <c r="X74" s="188">
        <f t="shared" ref="X74" si="135">+X73/X$163</f>
        <v>0.25917355365430511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36">+D73/C73-1</f>
        <v>-0.10982352241443749</v>
      </c>
      <c r="E75" s="62">
        <f t="shared" si="136"/>
        <v>-2.1638565325895476E-3</v>
      </c>
      <c r="F75" s="62">
        <f t="shared" si="136"/>
        <v>-2.2541143361939464E-2</v>
      </c>
      <c r="G75" s="62">
        <f t="shared" si="136"/>
        <v>6.6722122456169375E-2</v>
      </c>
      <c r="H75" s="62">
        <f t="shared" si="136"/>
        <v>5.9623087409886644E-2</v>
      </c>
      <c r="I75" s="62">
        <f t="shared" si="136"/>
        <v>-7.9118773614637039E-2</v>
      </c>
      <c r="J75" s="190">
        <f t="shared" si="136"/>
        <v>-4.2925044294422121E-2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37">+Q73/P73-1</f>
        <v>-4.7314723185104657E-2</v>
      </c>
      <c r="R75" s="50">
        <f t="shared" si="137"/>
        <v>-7.9022962655556195E-2</v>
      </c>
      <c r="S75" s="50">
        <f t="shared" si="137"/>
        <v>-1.4455047961229872E-2</v>
      </c>
      <c r="T75" s="50">
        <f t="shared" ref="T75" si="138">+T73/S73-1</f>
        <v>5.0911939560225106E-2</v>
      </c>
      <c r="U75" s="62">
        <f t="shared" ref="U75" si="139">+U73/T73-1</f>
        <v>7.7123727077059501E-2</v>
      </c>
      <c r="V75" s="62">
        <f t="shared" ref="V75" si="140">+V73/U73-1</f>
        <v>-6.0022414332437268E-2</v>
      </c>
      <c r="W75" s="190">
        <f t="shared" ref="W75:X75" si="141">+W73/V73-1</f>
        <v>-3.1335382641831111E-2</v>
      </c>
      <c r="X75" s="187">
        <f t="shared" si="141"/>
        <v>-4.6595847004193613E-2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35" t="s">
        <v>251</v>
      </c>
      <c r="B77" s="336"/>
      <c r="C77" s="336"/>
      <c r="D77" s="336"/>
      <c r="E77" s="336"/>
      <c r="F77" s="336"/>
      <c r="G77" s="336"/>
      <c r="H77" s="336"/>
      <c r="I77" s="336"/>
      <c r="J77" s="336"/>
      <c r="K77" s="336"/>
      <c r="L77" s="337"/>
      <c r="M77" s="2"/>
      <c r="N77" s="335" t="s">
        <v>252</v>
      </c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7"/>
    </row>
    <row r="78" spans="1:26" ht="51" x14ac:dyDescent="0.25">
      <c r="A78" s="86"/>
      <c r="B78" s="102">
        <v>2016</v>
      </c>
      <c r="C78" s="82">
        <f>+B78+1</f>
        <v>2017</v>
      </c>
      <c r="D78" s="82">
        <f t="shared" ref="D78:G78" si="142">+C78+1</f>
        <v>2018</v>
      </c>
      <c r="E78" s="82">
        <f t="shared" si="142"/>
        <v>2019</v>
      </c>
      <c r="F78" s="82">
        <f t="shared" si="142"/>
        <v>2020</v>
      </c>
      <c r="G78" s="82">
        <f t="shared" si="142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43">+P78+1</f>
        <v>2018</v>
      </c>
      <c r="R78" s="82">
        <f t="shared" si="143"/>
        <v>2019</v>
      </c>
      <c r="S78" s="82">
        <f t="shared" si="143"/>
        <v>2020</v>
      </c>
      <c r="T78" s="82">
        <f t="shared" ref="T78" si="144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6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 t="shared" ref="L79" si="145">+J79/I79-1</f>
        <v>-7.2816807681338469E-2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46">+SUM(C79)+SUM(B80:B90)</f>
        <v>521.68769999999995</v>
      </c>
      <c r="Q79" s="6">
        <f t="shared" si="146"/>
        <v>488.91809999999998</v>
      </c>
      <c r="R79" s="6">
        <f t="shared" si="146"/>
        <v>470.95859999999993</v>
      </c>
      <c r="S79" s="6">
        <f t="shared" si="146"/>
        <v>498.19559999999996</v>
      </c>
      <c r="T79" s="6">
        <f t="shared" si="146"/>
        <v>510.40219999999999</v>
      </c>
      <c r="U79" s="6">
        <f t="shared" si="146"/>
        <v>394.428</v>
      </c>
      <c r="V79" s="6">
        <f t="shared" si="146"/>
        <v>361.15440000000001</v>
      </c>
      <c r="W79" s="105">
        <f t="shared" si="146"/>
        <v>356.04290000000003</v>
      </c>
      <c r="X79" s="90">
        <f t="shared" si="146"/>
        <v>368.70029999999991</v>
      </c>
      <c r="Y79" s="117">
        <f>+X79/W79-1</f>
        <v>3.555021038195072E-2</v>
      </c>
      <c r="Z79" s="113">
        <f>+POWER(X79/S79,0.2)-1</f>
        <v>-5.8425429806523765E-2</v>
      </c>
    </row>
    <row r="80" spans="1:26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" si="147">+J80/I80-1</f>
        <v>8.0027120423428411E-2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48">+SUM(C79:C80)+SUM(B81:B90)</f>
        <v>518.19449999999995</v>
      </c>
      <c r="Q80" s="6">
        <f t="shared" si="148"/>
        <v>485.76859999999999</v>
      </c>
      <c r="R80" s="6">
        <f t="shared" si="148"/>
        <v>473.92529999999994</v>
      </c>
      <c r="S80" s="6">
        <f t="shared" si="148"/>
        <v>502.87700000000001</v>
      </c>
      <c r="T80" s="6">
        <f t="shared" si="148"/>
        <v>498.52379999999999</v>
      </c>
      <c r="U80" s="6">
        <f t="shared" si="148"/>
        <v>390.12779999999998</v>
      </c>
      <c r="V80" s="6">
        <f t="shared" si="148"/>
        <v>360.98840000000001</v>
      </c>
      <c r="W80" s="105">
        <f t="shared" si="148"/>
        <v>357.87240000000003</v>
      </c>
      <c r="X80" s="90">
        <f t="shared" ref="X80" si="149">+SUM(K79:K80)+SUM(J81:J90)</f>
        <v>371.06569999999994</v>
      </c>
      <c r="Y80" s="117">
        <f>+X80/W80-1</f>
        <v>3.6865933220890712E-2</v>
      </c>
      <c r="Z80" s="113">
        <f>+POWER(X80/S80,0.2)-1</f>
        <v>-5.8982266599815092E-2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ref="L81" si="150">+J81/I81-1</f>
        <v>-6.7911087816267202E-2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151">+SUM(C79:C81)+SUM(B82:B90)</f>
        <v>513.87799999999993</v>
      </c>
      <c r="Q81" s="6">
        <f t="shared" si="151"/>
        <v>484.74759999999998</v>
      </c>
      <c r="R81" s="6">
        <f t="shared" si="151"/>
        <v>474.61</v>
      </c>
      <c r="S81" s="6">
        <f t="shared" si="151"/>
        <v>499.87120000000004</v>
      </c>
      <c r="T81" s="6">
        <f t="shared" si="151"/>
        <v>488.84859999999998</v>
      </c>
      <c r="U81" s="6">
        <f t="shared" si="151"/>
        <v>394.82080000000002</v>
      </c>
      <c r="V81" s="6">
        <f t="shared" si="151"/>
        <v>354.6053</v>
      </c>
      <c r="W81" s="105">
        <f t="shared" si="151"/>
        <v>356.16210000000001</v>
      </c>
      <c r="X81" s="90">
        <f t="shared" ref="X81" si="152">+SUM(K79:K81)+SUM(J82:J90)</f>
        <v>375.07709999999997</v>
      </c>
      <c r="Y81" s="117">
        <f>+X81/W81-1</f>
        <v>5.3107840502961912E-2</v>
      </c>
      <c r="Z81" s="113">
        <f>+POWER(X81/S81,0.2)-1</f>
        <v>-5.5825022110966294E-2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ref="L82" si="153">+J82/I82-1</f>
        <v>-0.17174577067669172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154">+SUM(C79:C82)+SUM(B83:B90)</f>
        <v>503.07210000000003</v>
      </c>
      <c r="Q82" s="6">
        <f t="shared" si="154"/>
        <v>486.02870000000001</v>
      </c>
      <c r="R82" s="6">
        <f t="shared" si="154"/>
        <v>475.40840000000003</v>
      </c>
      <c r="S82" s="6">
        <f t="shared" si="154"/>
        <v>501.23549999999994</v>
      </c>
      <c r="T82" s="6">
        <f t="shared" si="154"/>
        <v>476.82579999999996</v>
      </c>
      <c r="U82" s="6">
        <f t="shared" si="154"/>
        <v>393.85809999999998</v>
      </c>
      <c r="V82" s="6">
        <f t="shared" si="154"/>
        <v>354.16750000000002</v>
      </c>
      <c r="W82" s="105">
        <f t="shared" si="154"/>
        <v>351.77639999999997</v>
      </c>
      <c r="X82" s="90">
        <f t="shared" ref="X82" si="155">+SUM(K79:K82)+SUM(J83:J90)</f>
        <v>378.71639999999996</v>
      </c>
      <c r="Y82" s="117">
        <f>+X82/W82-1</f>
        <v>7.6582738353113022E-2</v>
      </c>
      <c r="Z82" s="113">
        <f>+POWER(X82/S82,0.2)-1</f>
        <v>-5.4515403220463776E-2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26.476400000000002</v>
      </c>
      <c r="K83" s="104"/>
      <c r="L83" s="91"/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156">+SUM(C79:C83)+SUM(B84:B90)</f>
        <v>503.45209999999997</v>
      </c>
      <c r="Q83" s="6">
        <f t="shared" si="156"/>
        <v>489.40719999999999</v>
      </c>
      <c r="R83" s="6">
        <f t="shared" si="156"/>
        <v>473.67960000000005</v>
      </c>
      <c r="S83" s="6">
        <f t="shared" si="156"/>
        <v>501.51869999999997</v>
      </c>
      <c r="T83" s="6">
        <f t="shared" si="156"/>
        <v>455.16420000000005</v>
      </c>
      <c r="U83" s="6">
        <f t="shared" si="156"/>
        <v>395.47620000000001</v>
      </c>
      <c r="V83" s="6">
        <f t="shared" si="156"/>
        <v>351.73239999999998</v>
      </c>
      <c r="W83" s="105">
        <f t="shared" si="156"/>
        <v>353.62709999999998</v>
      </c>
      <c r="X83" s="90"/>
      <c r="Y83" s="117"/>
      <c r="Z83" s="113"/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/>
      <c r="L84" s="91"/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157">+SUM(C79:C84)+SUM(B85:B90)</f>
        <v>509.77260000000001</v>
      </c>
      <c r="Q84" s="6">
        <f t="shared" si="157"/>
        <v>485.32640000000004</v>
      </c>
      <c r="R84" s="6">
        <f t="shared" si="157"/>
        <v>467.7878</v>
      </c>
      <c r="S84" s="6">
        <f t="shared" si="157"/>
        <v>515.85680000000002</v>
      </c>
      <c r="T84" s="6">
        <f t="shared" si="157"/>
        <v>442.21950000000004</v>
      </c>
      <c r="U84" s="6">
        <f t="shared" si="157"/>
        <v>383.41640000000001</v>
      </c>
      <c r="V84" s="6">
        <f t="shared" si="157"/>
        <v>355.71109999999999</v>
      </c>
      <c r="W84" s="105">
        <f t="shared" si="157"/>
        <v>349.96699999999998</v>
      </c>
      <c r="X84" s="90"/>
      <c r="Y84" s="117"/>
      <c r="Z84" s="113"/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/>
      <c r="L85" s="91"/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158">+SUM(C79:C85)+SUM(B86:B90)</f>
        <v>508.41229999999996</v>
      </c>
      <c r="Q85" s="6">
        <f t="shared" si="158"/>
        <v>484.37130000000002</v>
      </c>
      <c r="R85" s="6">
        <f t="shared" si="158"/>
        <v>468.21230000000003</v>
      </c>
      <c r="S85" s="6">
        <f t="shared" si="158"/>
        <v>529.02319999999997</v>
      </c>
      <c r="T85" s="6">
        <f t="shared" si="158"/>
        <v>424.59800000000001</v>
      </c>
      <c r="U85" s="6">
        <f t="shared" si="158"/>
        <v>381.69389999999999</v>
      </c>
      <c r="V85" s="6">
        <f t="shared" si="158"/>
        <v>356.51700000000005</v>
      </c>
      <c r="W85" s="105">
        <f t="shared" si="158"/>
        <v>351.4708</v>
      </c>
      <c r="X85" s="90"/>
      <c r="Y85" s="117"/>
      <c r="Z85" s="113"/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/>
      <c r="L86" s="91"/>
      <c r="M86" s="2"/>
      <c r="N86" s="89" t="s">
        <v>5</v>
      </c>
      <c r="O86" s="104">
        <f>+'[2]CONSUMO EN ARGENTINA POR COLOR'!C1162*9</f>
        <v>594.50549699999999</v>
      </c>
      <c r="P86" s="6">
        <f t="shared" ref="P86:W86" si="159">+SUM(C79:C86)+SUM(B87:B90)</f>
        <v>505.36869999999999</v>
      </c>
      <c r="Q86" s="6">
        <f t="shared" si="159"/>
        <v>483.92790000000002</v>
      </c>
      <c r="R86" s="6">
        <f t="shared" si="159"/>
        <v>471.56049999999993</v>
      </c>
      <c r="S86" s="6">
        <f t="shared" si="159"/>
        <v>529.61340000000007</v>
      </c>
      <c r="T86" s="6">
        <f t="shared" si="159"/>
        <v>417.32209999999998</v>
      </c>
      <c r="U86" s="6">
        <f t="shared" si="159"/>
        <v>379.21640000000002</v>
      </c>
      <c r="V86" s="6">
        <f t="shared" si="159"/>
        <v>357.96480000000003</v>
      </c>
      <c r="W86" s="105">
        <f t="shared" si="159"/>
        <v>353.73410000000001</v>
      </c>
      <c r="X86" s="90"/>
      <c r="Y86" s="117"/>
      <c r="Z86" s="113"/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/>
      <c r="L87" s="91"/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160">+SUM(C79:C87)+SUM(B88:B90)</f>
        <v>501.1617</v>
      </c>
      <c r="Q87" s="6">
        <f t="shared" si="160"/>
        <v>478.0213</v>
      </c>
      <c r="R87" s="6">
        <f t="shared" si="160"/>
        <v>476.05619999999999</v>
      </c>
      <c r="S87" s="6">
        <f t="shared" si="160"/>
        <v>529.20749999999998</v>
      </c>
      <c r="T87" s="6">
        <f t="shared" si="160"/>
        <v>413.97450000000003</v>
      </c>
      <c r="U87" s="6">
        <f t="shared" si="160"/>
        <v>373.38889999999998</v>
      </c>
      <c r="V87" s="6">
        <f t="shared" si="160"/>
        <v>356.63110000000006</v>
      </c>
      <c r="W87" s="67">
        <f t="shared" si="160"/>
        <v>354.7998</v>
      </c>
      <c r="X87" s="37"/>
      <c r="Y87" s="78"/>
      <c r="Z87" s="7"/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161">+SUM(C79:C88)+SUM(B89:B90)</f>
        <v>494.93539999999996</v>
      </c>
      <c r="Q88" s="6">
        <f t="shared" si="161"/>
        <v>476.7534</v>
      </c>
      <c r="R88" s="6">
        <f t="shared" si="161"/>
        <v>483.70939999999996</v>
      </c>
      <c r="S88" s="6">
        <f t="shared" si="161"/>
        <v>527.77380000000005</v>
      </c>
      <c r="T88" s="6">
        <f t="shared" si="161"/>
        <v>406.17650000000003</v>
      </c>
      <c r="U88" s="6">
        <f t="shared" si="161"/>
        <v>373.77940000000001</v>
      </c>
      <c r="V88" s="6">
        <f t="shared" si="161"/>
        <v>355.80629999999996</v>
      </c>
      <c r="W88" s="105">
        <f t="shared" si="161"/>
        <v>355.96050000000002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162">+SUM(C79:C89)+SUM(B90)</f>
        <v>494.10489999999999</v>
      </c>
      <c r="Q89" s="6">
        <f t="shared" si="162"/>
        <v>471.88170000000002</v>
      </c>
      <c r="R89" s="6">
        <f t="shared" si="162"/>
        <v>487.9271</v>
      </c>
      <c r="S89" s="6">
        <f t="shared" si="162"/>
        <v>524.17070000000001</v>
      </c>
      <c r="T89" s="6">
        <f t="shared" si="162"/>
        <v>403.66089999999997</v>
      </c>
      <c r="U89" s="6">
        <f t="shared" si="162"/>
        <v>369.83280000000002</v>
      </c>
      <c r="V89" s="6">
        <f t="shared" si="162"/>
        <v>354.54720000000003</v>
      </c>
      <c r="W89" s="105">
        <f t="shared" si="162"/>
        <v>361.68029999999999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163">+SUM(C79:C90)</f>
        <v>488.98259999999993</v>
      </c>
      <c r="Q90" s="6">
        <f t="shared" si="163"/>
        <v>470.97519999999997</v>
      </c>
      <c r="R90" s="6">
        <f t="shared" si="163"/>
        <v>490.71669999999995</v>
      </c>
      <c r="S90" s="6">
        <f t="shared" si="163"/>
        <v>522.26790000000005</v>
      </c>
      <c r="T90" s="6">
        <f t="shared" si="163"/>
        <v>399.95010000000002</v>
      </c>
      <c r="U90" s="6">
        <f t="shared" si="163"/>
        <v>359.75560000000002</v>
      </c>
      <c r="V90" s="6">
        <f t="shared" ref="V90:W90" si="164">+SUM(I79:I90)</f>
        <v>357.95780000000002</v>
      </c>
      <c r="W90" s="105">
        <f t="shared" si="164"/>
        <v>363.94919999999996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165">SUM(C79:C90)</f>
        <v>488.98259999999993</v>
      </c>
      <c r="D91" s="83">
        <f t="shared" ref="D91" si="166">SUM(D79:D90)</f>
        <v>470.97519999999997</v>
      </c>
      <c r="E91" s="83">
        <f t="shared" ref="E91" si="167">SUM(E79:E90)</f>
        <v>490.71669999999995</v>
      </c>
      <c r="F91" s="83">
        <f t="shared" ref="F91:G91" si="168">SUM(F79:F90)</f>
        <v>522.26790000000005</v>
      </c>
      <c r="G91" s="83">
        <f t="shared" si="168"/>
        <v>399.95010000000002</v>
      </c>
      <c r="H91" s="83">
        <f t="shared" ref="H91:I91" si="169">SUM(H79:H90)</f>
        <v>359.75560000000002</v>
      </c>
      <c r="I91" s="83">
        <f t="shared" si="169"/>
        <v>357.95780000000002</v>
      </c>
      <c r="J91" s="107">
        <f t="shared" ref="J91" si="170">SUM(J79:J90)</f>
        <v>363.94919999999996</v>
      </c>
      <c r="K91" s="107"/>
      <c r="L91" s="94"/>
      <c r="M91" s="3"/>
      <c r="N91" s="92" t="s">
        <v>14</v>
      </c>
      <c r="O91" s="106">
        <f t="shared" ref="O91" si="171">+AVERAGE(O79:O90)</f>
        <v>594.02953591666676</v>
      </c>
      <c r="P91" s="83">
        <f>+AVERAGE(P79:P90)</f>
        <v>505.25188333333335</v>
      </c>
      <c r="Q91" s="83">
        <f t="shared" ref="Q91" si="172">+AVERAGE(Q79:Q90)</f>
        <v>482.17728333333326</v>
      </c>
      <c r="R91" s="83">
        <f t="shared" ref="R91" si="173">+AVERAGE(R79:R90)</f>
        <v>476.21265833333337</v>
      </c>
      <c r="S91" s="83">
        <f t="shared" ref="S91:X91" si="174">+AVERAGE(S79:S90)</f>
        <v>515.134275</v>
      </c>
      <c r="T91" s="83">
        <f t="shared" si="174"/>
        <v>444.80551666666673</v>
      </c>
      <c r="U91" s="83">
        <f t="shared" si="174"/>
        <v>382.48285833333335</v>
      </c>
      <c r="V91" s="83">
        <f t="shared" si="174"/>
        <v>356.48194166666673</v>
      </c>
      <c r="W91" s="107">
        <f t="shared" si="174"/>
        <v>355.58688333333339</v>
      </c>
      <c r="X91" s="93">
        <f t="shared" si="174"/>
        <v>373.38987499999996</v>
      </c>
      <c r="Y91" s="119">
        <f>+X91/W91-1</f>
        <v>5.0066502734235296E-2</v>
      </c>
      <c r="Z91" s="173">
        <f>+POWER(X91/S91,0.2)-1</f>
        <v>-6.2333461603703344E-2</v>
      </c>
    </row>
    <row r="92" spans="1:26" ht="25.5" x14ac:dyDescent="0.25">
      <c r="A92" s="95" t="s">
        <v>15</v>
      </c>
      <c r="B92" s="108">
        <f t="shared" ref="B92:G92" si="175">+B91/B$163</f>
        <v>0.5624266437845542</v>
      </c>
      <c r="C92" s="84">
        <f t="shared" si="175"/>
        <v>0.54787782225942094</v>
      </c>
      <c r="D92" s="84">
        <f t="shared" si="175"/>
        <v>0.56095047880418591</v>
      </c>
      <c r="E92" s="84">
        <f t="shared" si="175"/>
        <v>0.55431973434224302</v>
      </c>
      <c r="F92" s="84">
        <f t="shared" si="175"/>
        <v>0.55385667221441115</v>
      </c>
      <c r="G92" s="84">
        <f t="shared" si="175"/>
        <v>0.47721309531110662</v>
      </c>
      <c r="H92" s="84">
        <f t="shared" ref="H92:I92" si="176">+H91/H$163</f>
        <v>0.43469229098060469</v>
      </c>
      <c r="I92" s="84">
        <f t="shared" si="176"/>
        <v>0.46172601147330933</v>
      </c>
      <c r="J92" s="109">
        <f t="shared" ref="J92" si="177">+J91/J$163</f>
        <v>0.47725854493963077</v>
      </c>
      <c r="K92" s="109"/>
      <c r="L92" s="97"/>
      <c r="M92" s="3"/>
      <c r="N92" s="95" t="s">
        <v>15</v>
      </c>
      <c r="O92" s="108">
        <f t="shared" ref="O92:W92" si="178">+O91/O$163</f>
        <v>0.58467804006315383</v>
      </c>
      <c r="P92" s="84">
        <f t="shared" si="178"/>
        <v>0.55388249903909115</v>
      </c>
      <c r="Q92" s="84">
        <f t="shared" si="178"/>
        <v>0.55404875571490231</v>
      </c>
      <c r="R92" s="84">
        <f t="shared" si="178"/>
        <v>0.55723036916057234</v>
      </c>
      <c r="S92" s="84">
        <f t="shared" si="178"/>
        <v>0.56076073073876687</v>
      </c>
      <c r="T92" s="84">
        <f t="shared" si="178"/>
        <v>0.50339496915329418</v>
      </c>
      <c r="U92" s="84">
        <f t="shared" si="178"/>
        <v>0.45396673386433739</v>
      </c>
      <c r="V92" s="84">
        <f t="shared" si="178"/>
        <v>0.45144405674713423</v>
      </c>
      <c r="W92" s="109">
        <f t="shared" si="178"/>
        <v>0.46437846945307049</v>
      </c>
      <c r="X92" s="96">
        <f t="shared" ref="X92" si="179">+X91/X$163</f>
        <v>0.48399064906265704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180">+D91/C91-1</f>
        <v>-3.6826259257486837E-2</v>
      </c>
      <c r="E93" s="85">
        <f t="shared" ref="E93" si="181">+E91/D91-1</f>
        <v>4.1916219792464515E-2</v>
      </c>
      <c r="F93" s="85">
        <f t="shared" ref="F93:J93" si="182">+F91/E91-1</f>
        <v>6.4296161104768101E-2</v>
      </c>
      <c r="G93" s="85">
        <f t="shared" si="182"/>
        <v>-0.23420508899742842</v>
      </c>
      <c r="H93" s="85">
        <f t="shared" si="182"/>
        <v>-0.1004987872237062</v>
      </c>
      <c r="I93" s="85">
        <f t="shared" si="182"/>
        <v>-4.9972814877655702E-3</v>
      </c>
      <c r="J93" s="111">
        <f t="shared" si="182"/>
        <v>1.6737727184600981E-2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183">+Q91/P91-1</f>
        <v>-4.56694982466338E-2</v>
      </c>
      <c r="R93" s="85">
        <f t="shared" ref="R93" si="184">+R91/Q91-1</f>
        <v>-1.2370190811906268E-2</v>
      </c>
      <c r="S93" s="85">
        <f t="shared" ref="S93" si="185">+S91/R91-1</f>
        <v>8.1731587738314015E-2</v>
      </c>
      <c r="T93" s="85">
        <f t="shared" ref="T93" si="186">+T91/S91-1</f>
        <v>-0.13652509985543726</v>
      </c>
      <c r="U93" s="85">
        <f t="shared" ref="U93" si="187">+U91/T91-1</f>
        <v>-0.14011215238599983</v>
      </c>
      <c r="V93" s="85">
        <f t="shared" ref="V93" si="188">+V91/U91-1</f>
        <v>-6.7979299203016486E-2</v>
      </c>
      <c r="W93" s="111">
        <f t="shared" ref="W93:X93" si="189">+W91/V91-1</f>
        <v>-2.5108097457858802E-3</v>
      </c>
      <c r="X93" s="100">
        <f t="shared" si="189"/>
        <v>5.0066502734235296E-2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35" t="s">
        <v>253</v>
      </c>
      <c r="B95" s="336"/>
      <c r="C95" s="336"/>
      <c r="D95" s="336"/>
      <c r="E95" s="336"/>
      <c r="F95" s="336"/>
      <c r="G95" s="336"/>
      <c r="H95" s="336"/>
      <c r="I95" s="336"/>
      <c r="J95" s="336"/>
      <c r="K95" s="336"/>
      <c r="L95" s="337"/>
      <c r="M95" s="2"/>
      <c r="N95" s="335" t="s">
        <v>254</v>
      </c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7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190">+C96+1</f>
        <v>2018</v>
      </c>
      <c r="E96" s="82">
        <f t="shared" si="190"/>
        <v>2019</v>
      </c>
      <c r="F96" s="82">
        <f t="shared" si="190"/>
        <v>2020</v>
      </c>
      <c r="G96" s="82">
        <f t="shared" si="190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191">+P96+1</f>
        <v>2018</v>
      </c>
      <c r="R96" s="82">
        <f t="shared" si="191"/>
        <v>2019</v>
      </c>
      <c r="S96" s="82">
        <f t="shared" si="191"/>
        <v>2020</v>
      </c>
      <c r="T96" s="82">
        <f t="shared" ref="T96" si="192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 t="shared" ref="L97" si="193">+J97/I97-1</f>
        <v>-0.20675289797040952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194">+SUM(C97)+SUM(B98:B108)</f>
        <v>171.86430000000001</v>
      </c>
      <c r="Q97" s="6">
        <f t="shared" si="194"/>
        <v>162.4</v>
      </c>
      <c r="R97" s="6">
        <f t="shared" si="194"/>
        <v>156.39620000000002</v>
      </c>
      <c r="S97" s="6">
        <f t="shared" si="194"/>
        <v>181.19389999999999</v>
      </c>
      <c r="T97" s="6">
        <f t="shared" si="194"/>
        <v>216.00779999999997</v>
      </c>
      <c r="U97" s="6">
        <f t="shared" si="194"/>
        <v>210.71360000000001</v>
      </c>
      <c r="V97" s="6">
        <f t="shared" si="194"/>
        <v>226.5496</v>
      </c>
      <c r="W97" s="105">
        <f t="shared" si="194"/>
        <v>193.16030000000001</v>
      </c>
      <c r="X97" s="90">
        <f t="shared" si="194"/>
        <v>190.83199999999999</v>
      </c>
      <c r="Y97" s="117">
        <f>+X97/W97-1</f>
        <v>-1.2053719113089056E-2</v>
      </c>
      <c r="Z97" s="113">
        <f>+POWER(X97/S97,0.2)-1</f>
        <v>1.0419050459740564E-2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" si="195">+J98/I98-1</f>
        <v>1.451587308215907E-2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196">+SUM(C97:C98)+SUM(B99:B108)</f>
        <v>169.71710000000002</v>
      </c>
      <c r="Q98" s="6">
        <f t="shared" si="196"/>
        <v>163.50299999999999</v>
      </c>
      <c r="R98" s="6">
        <f t="shared" si="196"/>
        <v>156.4743</v>
      </c>
      <c r="S98" s="6">
        <f t="shared" si="196"/>
        <v>182.05</v>
      </c>
      <c r="T98" s="6">
        <f t="shared" si="196"/>
        <v>219.5719</v>
      </c>
      <c r="U98" s="6">
        <f t="shared" si="196"/>
        <v>212.01609999999999</v>
      </c>
      <c r="V98" s="6">
        <f t="shared" si="196"/>
        <v>223.34660000000002</v>
      </c>
      <c r="W98" s="105">
        <f t="shared" si="196"/>
        <v>193.33410000000003</v>
      </c>
      <c r="X98" s="90">
        <f t="shared" ref="X98" si="197">+SUM(K97:K98)+SUM(J99:J108)</f>
        <v>189.98000000000002</v>
      </c>
      <c r="Y98" s="117">
        <f>+X98/W98-1</f>
        <v>-1.7348724306783025E-2</v>
      </c>
      <c r="Z98" s="113">
        <f>+POWER(X98/S98,0.2)-1</f>
        <v>8.5639483458916921E-3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ref="L99" si="198">+J99/I99-1</f>
        <v>-0.13738025612584459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199">+SUM(C97:C99)+SUM(B100:B108)</f>
        <v>168.9393</v>
      </c>
      <c r="Q99" s="6">
        <f t="shared" si="199"/>
        <v>162.64549999999997</v>
      </c>
      <c r="R99" s="6">
        <f t="shared" si="199"/>
        <v>158.0204</v>
      </c>
      <c r="S99" s="6">
        <f t="shared" si="199"/>
        <v>183.59010000000001</v>
      </c>
      <c r="T99" s="6">
        <f t="shared" si="199"/>
        <v>221.52529999999999</v>
      </c>
      <c r="U99" s="6">
        <f t="shared" si="199"/>
        <v>214.61700000000002</v>
      </c>
      <c r="V99" s="6">
        <f t="shared" si="199"/>
        <v>220.48489999999998</v>
      </c>
      <c r="W99" s="105">
        <f t="shared" si="199"/>
        <v>191.29050000000004</v>
      </c>
      <c r="X99" s="90">
        <f t="shared" ref="X99" si="200">+SUM(K97:K99)+SUM(J100:J108)</f>
        <v>191.51689999999999</v>
      </c>
      <c r="Y99" s="117">
        <f>+X99/W99-1</f>
        <v>1.1835402176267884E-3</v>
      </c>
      <c r="Z99" s="113">
        <f>+POWER(X99/S99,0.2)-1</f>
        <v>8.4899368650688256E-3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ref="L100" si="201">+J100/I100-1</f>
        <v>6.0539862587949855E-2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02">+SUM(C97:C100)+SUM(B101:B108)</f>
        <v>167.27019999999999</v>
      </c>
      <c r="Q100" s="6">
        <f t="shared" si="202"/>
        <v>163.05689999999998</v>
      </c>
      <c r="R100" s="6">
        <f t="shared" si="202"/>
        <v>158.60309999999998</v>
      </c>
      <c r="S100" s="6">
        <f t="shared" si="202"/>
        <v>185.25900000000001</v>
      </c>
      <c r="T100" s="6">
        <f t="shared" si="202"/>
        <v>224.6507</v>
      </c>
      <c r="U100" s="6">
        <f t="shared" si="202"/>
        <v>216.00990000000002</v>
      </c>
      <c r="V100" s="6">
        <f t="shared" si="202"/>
        <v>216.37559999999999</v>
      </c>
      <c r="W100" s="105">
        <f t="shared" si="202"/>
        <v>192.16899999999998</v>
      </c>
      <c r="X100" s="90">
        <f t="shared" ref="X100" si="203">+SUM(K97:K100)+SUM(J101:J108)</f>
        <v>193.7405</v>
      </c>
      <c r="Y100" s="117">
        <f>+X100/W100-1</f>
        <v>8.1776977556213826E-3</v>
      </c>
      <c r="Z100" s="113">
        <f>+POWER(X100/S100,0.2)-1</f>
        <v>8.9931553554547516E-3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21.1874</v>
      </c>
      <c r="K101" s="104"/>
      <c r="L101" s="91"/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04">+SUM(C97:C101)+SUM(B102:B108)</f>
        <v>166.68530000000001</v>
      </c>
      <c r="Q101" s="6">
        <f t="shared" si="204"/>
        <v>161.56319999999999</v>
      </c>
      <c r="R101" s="6">
        <f t="shared" si="204"/>
        <v>163.1223</v>
      </c>
      <c r="S101" s="6">
        <f t="shared" si="204"/>
        <v>187.71879999999999</v>
      </c>
      <c r="T101" s="6">
        <f t="shared" si="204"/>
        <v>224.33029999999999</v>
      </c>
      <c r="U101" s="6">
        <f t="shared" si="204"/>
        <v>216.6763</v>
      </c>
      <c r="V101" s="6">
        <f t="shared" si="204"/>
        <v>215.4477</v>
      </c>
      <c r="W101" s="105">
        <f t="shared" si="204"/>
        <v>195.56880000000001</v>
      </c>
      <c r="X101" s="90"/>
      <c r="Y101" s="117"/>
      <c r="Z101" s="113"/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/>
      <c r="L102" s="91"/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05">+SUM(C97:C102)+SUM(B103:B108)</f>
        <v>168.07990000000001</v>
      </c>
      <c r="Q102" s="6">
        <f t="shared" si="205"/>
        <v>160.16360000000003</v>
      </c>
      <c r="R102" s="6">
        <f t="shared" si="205"/>
        <v>165.46520000000001</v>
      </c>
      <c r="S102" s="6">
        <f t="shared" si="205"/>
        <v>191.09460000000001</v>
      </c>
      <c r="T102" s="6">
        <f t="shared" si="205"/>
        <v>226.79990000000001</v>
      </c>
      <c r="U102" s="6">
        <f t="shared" si="205"/>
        <v>218.51609999999999</v>
      </c>
      <c r="V102" s="6">
        <f t="shared" si="205"/>
        <v>207.34540000000001</v>
      </c>
      <c r="W102" s="105">
        <f t="shared" si="205"/>
        <v>193.83529999999999</v>
      </c>
      <c r="X102" s="90"/>
      <c r="Y102" s="117"/>
      <c r="Z102" s="113"/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/>
      <c r="L103" s="91"/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06">+SUM(C97:C103)+SUM(B104:B108)</f>
        <v>169.72910000000002</v>
      </c>
      <c r="Q103" s="6">
        <f t="shared" si="206"/>
        <v>157.5677</v>
      </c>
      <c r="R103" s="6">
        <f t="shared" si="206"/>
        <v>168.86369999999999</v>
      </c>
      <c r="S103" s="6">
        <f t="shared" si="206"/>
        <v>196.70340000000002</v>
      </c>
      <c r="T103" s="6">
        <f t="shared" si="206"/>
        <v>221.98419999999999</v>
      </c>
      <c r="U103" s="6">
        <f t="shared" si="206"/>
        <v>221.45740000000001</v>
      </c>
      <c r="V103" s="6">
        <f t="shared" si="206"/>
        <v>202.73820000000001</v>
      </c>
      <c r="W103" s="105">
        <f t="shared" si="206"/>
        <v>195.72829999999999</v>
      </c>
      <c r="X103" s="90"/>
      <c r="Y103" s="117"/>
      <c r="Z103" s="113"/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/>
      <c r="L104" s="91"/>
      <c r="M104" s="2"/>
      <c r="N104" s="89" t="s">
        <v>5</v>
      </c>
      <c r="O104" s="104">
        <f>+'[2]CONSUMO EN ARGENTINA POR COLOR'!F1162*9</f>
        <v>180.30462</v>
      </c>
      <c r="P104" s="6">
        <f t="shared" ref="P104:W104" si="207">+SUM(C97:C104)+SUM(B105:B108)</f>
        <v>166.03880000000001</v>
      </c>
      <c r="Q104" s="6">
        <f t="shared" si="207"/>
        <v>155.78950000000003</v>
      </c>
      <c r="R104" s="6">
        <f t="shared" si="207"/>
        <v>170.78919999999999</v>
      </c>
      <c r="S104" s="6">
        <f t="shared" si="207"/>
        <v>200.0712</v>
      </c>
      <c r="T104" s="6">
        <f t="shared" si="207"/>
        <v>221.15890000000002</v>
      </c>
      <c r="U104" s="6">
        <f t="shared" si="207"/>
        <v>224.3981</v>
      </c>
      <c r="V104" s="6">
        <f t="shared" si="207"/>
        <v>199.56930000000003</v>
      </c>
      <c r="W104" s="105">
        <f t="shared" si="207"/>
        <v>194.52819999999997</v>
      </c>
      <c r="X104" s="90"/>
      <c r="Y104" s="117"/>
      <c r="Z104" s="113"/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/>
      <c r="L105" s="91"/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08">+SUM(C97:C105)+SUM(B106:B108)</f>
        <v>161.095</v>
      </c>
      <c r="Q105" s="6">
        <f t="shared" si="208"/>
        <v>157.1773</v>
      </c>
      <c r="R105" s="6">
        <f t="shared" si="208"/>
        <v>172.8159</v>
      </c>
      <c r="S105" s="6">
        <f t="shared" si="208"/>
        <v>205.32750000000001</v>
      </c>
      <c r="T105" s="6">
        <f t="shared" si="208"/>
        <v>214.3879</v>
      </c>
      <c r="U105" s="6">
        <f t="shared" si="208"/>
        <v>229.4239</v>
      </c>
      <c r="V105" s="6">
        <f t="shared" si="208"/>
        <v>197.08950000000002</v>
      </c>
      <c r="W105" s="67">
        <f t="shared" si="208"/>
        <v>195.27229999999997</v>
      </c>
      <c r="X105" s="37"/>
      <c r="Y105" s="78"/>
      <c r="Z105" s="7"/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09">+SUM(C97:C106)+SUM(B107:B108)</f>
        <v>162.58180000000002</v>
      </c>
      <c r="Q106" s="6">
        <f t="shared" si="209"/>
        <v>154.59630000000001</v>
      </c>
      <c r="R106" s="6">
        <f t="shared" si="209"/>
        <v>176.3657</v>
      </c>
      <c r="S106" s="6">
        <f t="shared" si="209"/>
        <v>206.78570000000002</v>
      </c>
      <c r="T106" s="6">
        <f t="shared" si="209"/>
        <v>209.62600000000003</v>
      </c>
      <c r="U106" s="6">
        <f t="shared" si="209"/>
        <v>233.41919999999999</v>
      </c>
      <c r="V106" s="6">
        <f t="shared" si="209"/>
        <v>196.19840000000002</v>
      </c>
      <c r="W106" s="105">
        <f t="shared" si="209"/>
        <v>192.01990000000001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10">+SUM(C97:C107)+SUM(B108)</f>
        <v>163.69580000000002</v>
      </c>
      <c r="Q107" s="6">
        <f t="shared" si="210"/>
        <v>151.38220000000001</v>
      </c>
      <c r="R107" s="6">
        <f t="shared" si="210"/>
        <v>179.79040000000001</v>
      </c>
      <c r="S107" s="6">
        <f t="shared" si="210"/>
        <v>208.91550000000001</v>
      </c>
      <c r="T107" s="6">
        <f t="shared" si="210"/>
        <v>210.57150000000001</v>
      </c>
      <c r="U107" s="6">
        <f t="shared" si="210"/>
        <v>233.56219999999999</v>
      </c>
      <c r="V107" s="6">
        <f t="shared" si="210"/>
        <v>195.05370000000002</v>
      </c>
      <c r="W107" s="105">
        <f t="shared" si="210"/>
        <v>190.17399999999998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11">+SUM(C97:C108)</f>
        <v>162.77670000000001</v>
      </c>
      <c r="Q108" s="6">
        <f t="shared" si="211"/>
        <v>154.18320000000003</v>
      </c>
      <c r="R108" s="6">
        <f t="shared" si="211"/>
        <v>180.9632</v>
      </c>
      <c r="S108" s="6">
        <f t="shared" si="211"/>
        <v>210.9564</v>
      </c>
      <c r="T108" s="6">
        <f t="shared" si="211"/>
        <v>212.72760000000002</v>
      </c>
      <c r="U108" s="6">
        <f t="shared" si="211"/>
        <v>228.05579999999998</v>
      </c>
      <c r="V108" s="6">
        <f t="shared" ref="V108:W108" si="212">+SUM(I97:I108)</f>
        <v>195.71620000000001</v>
      </c>
      <c r="W108" s="105">
        <f t="shared" si="212"/>
        <v>188.74789999999999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13">SUM(G97:G108)</f>
        <v>212.72760000000002</v>
      </c>
      <c r="H109" s="83">
        <f t="shared" si="213"/>
        <v>228.05579999999998</v>
      </c>
      <c r="I109" s="83">
        <f t="shared" ref="I109:J109" si="214">SUM(I97:I108)</f>
        <v>195.71620000000001</v>
      </c>
      <c r="J109" s="107">
        <f t="shared" si="214"/>
        <v>188.74789999999999</v>
      </c>
      <c r="K109" s="107"/>
      <c r="L109" s="94"/>
      <c r="M109" s="3"/>
      <c r="N109" s="92" t="s">
        <v>14</v>
      </c>
      <c r="O109" s="106">
        <f t="shared" ref="O109:X109" si="215">+AVERAGE(O97:O108)</f>
        <v>178.82120283333333</v>
      </c>
      <c r="P109" s="83">
        <f t="shared" si="215"/>
        <v>166.53944166666668</v>
      </c>
      <c r="Q109" s="83">
        <f t="shared" si="215"/>
        <v>158.66903333333335</v>
      </c>
      <c r="R109" s="83">
        <f t="shared" si="215"/>
        <v>167.3058</v>
      </c>
      <c r="S109" s="83">
        <f t="shared" si="215"/>
        <v>194.97217500000002</v>
      </c>
      <c r="T109" s="83">
        <f t="shared" si="215"/>
        <v>218.61183333333335</v>
      </c>
      <c r="U109" s="83">
        <f t="shared" si="215"/>
        <v>221.57213333333334</v>
      </c>
      <c r="V109" s="83">
        <f t="shared" si="215"/>
        <v>207.99292500000001</v>
      </c>
      <c r="W109" s="107">
        <f t="shared" si="215"/>
        <v>192.98571666666669</v>
      </c>
      <c r="X109" s="93">
        <f t="shared" si="215"/>
        <v>191.51734999999999</v>
      </c>
      <c r="Y109" s="119">
        <f>+X109/W109-1</f>
        <v>-7.6086805387930445E-3</v>
      </c>
      <c r="Z109" s="173">
        <f>+POWER(X109/S109,0.2)-1</f>
        <v>-3.5693050396237158E-3</v>
      </c>
    </row>
    <row r="110" spans="1:26" ht="25.5" x14ac:dyDescent="0.25">
      <c r="A110" s="95" t="s">
        <v>15</v>
      </c>
      <c r="B110" s="108">
        <f t="shared" ref="B110:H110" si="216">+B109/B$163</f>
        <v>0.18434355877736455</v>
      </c>
      <c r="C110" s="84">
        <f t="shared" si="216"/>
        <v>0.18238224409329717</v>
      </c>
      <c r="D110" s="84">
        <f t="shared" si="216"/>
        <v>0.18363841634031169</v>
      </c>
      <c r="E110" s="84">
        <f t="shared" si="216"/>
        <v>0.20441829868378678</v>
      </c>
      <c r="F110" s="84">
        <f t="shared" si="216"/>
        <v>0.22371585480618703</v>
      </c>
      <c r="G110" s="84">
        <f t="shared" si="216"/>
        <v>0.25382265551153249</v>
      </c>
      <c r="H110" s="84">
        <f t="shared" si="216"/>
        <v>0.27555956925594643</v>
      </c>
      <c r="I110" s="84">
        <f t="shared" ref="I110:J110" si="217">+I109/I$163</f>
        <v>0.25245227344316146</v>
      </c>
      <c r="J110" s="109">
        <f t="shared" si="217"/>
        <v>0.24751132332317513</v>
      </c>
      <c r="K110" s="109"/>
      <c r="L110" s="97"/>
      <c r="M110" s="3"/>
      <c r="N110" s="95" t="s">
        <v>15</v>
      </c>
      <c r="O110" s="108">
        <f t="shared" ref="O110:W110" si="218">+O109/O$163</f>
        <v>0.17600611429697696</v>
      </c>
      <c r="P110" s="84">
        <f t="shared" si="218"/>
        <v>0.1825689031188667</v>
      </c>
      <c r="Q110" s="84">
        <f t="shared" si="218"/>
        <v>0.18231962294259829</v>
      </c>
      <c r="R110" s="84">
        <f t="shared" si="218"/>
        <v>0.19576941323438826</v>
      </c>
      <c r="S110" s="84">
        <f t="shared" si="218"/>
        <v>0.2122412439489233</v>
      </c>
      <c r="T110" s="84">
        <f t="shared" si="218"/>
        <v>0.24740722174956178</v>
      </c>
      <c r="U110" s="84">
        <f t="shared" si="218"/>
        <v>0.26298270757280817</v>
      </c>
      <c r="V110" s="84">
        <f t="shared" si="218"/>
        <v>0.26339951302358611</v>
      </c>
      <c r="W110" s="109">
        <f t="shared" si="218"/>
        <v>0.25202957682767146</v>
      </c>
      <c r="X110" s="96">
        <f t="shared" ref="X110" si="219">+X109/X$163</f>
        <v>0.24824617039564897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20">+D109/C109-1</f>
        <v>-5.2793182316633658E-2</v>
      </c>
      <c r="E111" s="85">
        <f t="shared" ref="E111" si="221">+E109/D109-1</f>
        <v>0.17368948108483906</v>
      </c>
      <c r="F111" s="85">
        <f t="shared" ref="F111:J111" si="222">+F109/E109-1</f>
        <v>0.16574198511078486</v>
      </c>
      <c r="G111" s="85">
        <f t="shared" si="222"/>
        <v>8.3960477141249434E-3</v>
      </c>
      <c r="H111" s="85">
        <f t="shared" si="222"/>
        <v>7.2055530170979099E-2</v>
      </c>
      <c r="I111" s="85">
        <f t="shared" si="222"/>
        <v>-0.14180564581124433</v>
      </c>
      <c r="J111" s="111">
        <f t="shared" si="222"/>
        <v>-3.5604104310220763E-2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23">+Q109/P109-1</f>
        <v>-4.7258524794902113E-2</v>
      </c>
      <c r="R111" s="85">
        <f t="shared" ref="R111" si="224">+R109/Q109-1</f>
        <v>5.4432591446640144E-2</v>
      </c>
      <c r="S111" s="85">
        <f t="shared" ref="S111" si="225">+S109/R109-1</f>
        <v>0.16536411170443599</v>
      </c>
      <c r="T111" s="85">
        <f t="shared" ref="T111" si="226">+T109/S109-1</f>
        <v>0.12124631801093333</v>
      </c>
      <c r="U111" s="85">
        <f t="shared" ref="U111" si="227">+U109/T109-1</f>
        <v>1.3541352976470522E-2</v>
      </c>
      <c r="V111" s="85">
        <f t="shared" ref="V111" si="228">+V109/U109-1</f>
        <v>-6.1285722753342542E-2</v>
      </c>
      <c r="W111" s="111">
        <f t="shared" ref="W111:X111" si="229">+W109/V109-1</f>
        <v>-7.215249428956938E-2</v>
      </c>
      <c r="X111" s="100">
        <f t="shared" si="229"/>
        <v>-7.6086805387930445E-3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35" t="s">
        <v>255</v>
      </c>
      <c r="B113" s="33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7"/>
      <c r="M113" s="2"/>
      <c r="N113" s="335" t="s">
        <v>256</v>
      </c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  <c r="Y113" s="336"/>
      <c r="Z113" s="337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30">+C114+1</f>
        <v>2018</v>
      </c>
      <c r="E114" s="82">
        <f t="shared" si="230"/>
        <v>2019</v>
      </c>
      <c r="F114" s="82">
        <f t="shared" si="230"/>
        <v>2020</v>
      </c>
      <c r="G114" s="82">
        <f t="shared" si="230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31">+P114+1</f>
        <v>2018</v>
      </c>
      <c r="R114" s="82">
        <f t="shared" si="231"/>
        <v>2019</v>
      </c>
      <c r="S114" s="82">
        <f t="shared" si="231"/>
        <v>2020</v>
      </c>
      <c r="T114" s="82">
        <f t="shared" ref="T114" si="232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233">+J115/I115-1</f>
        <v>-7.9248605811563788E-3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234">+SUM(C115)+SUM(B116:B126)</f>
        <v>3.7007829999999999</v>
      </c>
      <c r="Q115" s="6">
        <f t="shared" si="234"/>
        <v>4.2568000000000001</v>
      </c>
      <c r="R115" s="6">
        <f t="shared" si="234"/>
        <v>3.9102999999999999</v>
      </c>
      <c r="S115" s="6">
        <f t="shared" si="234"/>
        <v>4.1932999999999998</v>
      </c>
      <c r="T115" s="6">
        <f t="shared" si="234"/>
        <v>4.9743000000000004</v>
      </c>
      <c r="U115" s="6">
        <f t="shared" si="234"/>
        <v>6.6055999999999999</v>
      </c>
      <c r="V115" s="6">
        <f t="shared" si="234"/>
        <v>7.8309999999999995</v>
      </c>
      <c r="W115" s="105">
        <f t="shared" si="234"/>
        <v>7.0416000000000007</v>
      </c>
      <c r="X115" s="90">
        <f t="shared" si="234"/>
        <v>5.5686999999999998</v>
      </c>
      <c r="Y115" s="117">
        <f>+X115/W115-1</f>
        <v>-0.2091712110883891</v>
      </c>
      <c r="Z115" s="113">
        <f>+POWER(X115/S115,0.2)-1</f>
        <v>5.8375011678641897E-2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" si="235">+J116/I116-1</f>
        <v>-0.11625708884688091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236">+SUM(C115:C116)+SUM(B117:B126)</f>
        <v>3.679983</v>
      </c>
      <c r="Q116" s="6">
        <f t="shared" si="236"/>
        <v>4.3100999999999994</v>
      </c>
      <c r="R116" s="6">
        <f t="shared" si="236"/>
        <v>3.8323</v>
      </c>
      <c r="S116" s="6">
        <f t="shared" si="236"/>
        <v>4.3757000000000001</v>
      </c>
      <c r="T116" s="6">
        <f t="shared" si="236"/>
        <v>4.9860000000000007</v>
      </c>
      <c r="U116" s="6">
        <f t="shared" si="236"/>
        <v>6.7819000000000003</v>
      </c>
      <c r="V116" s="6">
        <f t="shared" si="236"/>
        <v>7.5442999999999998</v>
      </c>
      <c r="W116" s="105">
        <f t="shared" si="236"/>
        <v>7.0170000000000012</v>
      </c>
      <c r="X116" s="90">
        <f t="shared" ref="X116" si="237">+SUM(K115:K116)+SUM(J117:J126)</f>
        <v>5.6517999999999997</v>
      </c>
      <c r="Y116" s="117">
        <f>+X116/W116-1</f>
        <v>-0.19455607809605258</v>
      </c>
      <c r="Z116" s="113">
        <f>+POWER(X116/S116,0.2)-1</f>
        <v>5.2513922269290303E-2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ref="L117" si="238">+J117/I117-1</f>
        <v>9.373828271466067E-2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239">+SUM(C115:C117)+SUM(B118:B126)</f>
        <v>3.7</v>
      </c>
      <c r="Q117" s="6">
        <f t="shared" si="239"/>
        <v>4.2433000000000005</v>
      </c>
      <c r="R117" s="6">
        <f t="shared" si="239"/>
        <v>3.8569999999999998</v>
      </c>
      <c r="S117" s="6">
        <f t="shared" si="239"/>
        <v>4.4382999999999999</v>
      </c>
      <c r="T117" s="6">
        <f t="shared" si="239"/>
        <v>5.1306000000000003</v>
      </c>
      <c r="U117" s="6">
        <f t="shared" si="239"/>
        <v>6.8765000000000001</v>
      </c>
      <c r="V117" s="6">
        <f t="shared" si="239"/>
        <v>7.3372000000000002</v>
      </c>
      <c r="W117" s="105">
        <f t="shared" si="239"/>
        <v>7.0420000000000007</v>
      </c>
      <c r="X117" s="90">
        <f t="shared" ref="X117" si="240">+SUM(K115:K117)+SUM(J118:J126)</f>
        <v>5.7579999999999991</v>
      </c>
      <c r="Y117" s="117">
        <f>+X117/W117-1</f>
        <v>-0.18233456404430581</v>
      </c>
      <c r="Z117" s="113">
        <f>+POWER(X117/S117,0.2)-1</f>
        <v>5.3442901981491264E-2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ref="L118" si="241">+J118/I118-1</f>
        <v>-0.63606613847743709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242">+SUM(C115:C118)+SUM(B119:B126)</f>
        <v>3.7492999999999999</v>
      </c>
      <c r="Q118" s="6">
        <f t="shared" si="242"/>
        <v>4.1139000000000001</v>
      </c>
      <c r="R118" s="6">
        <f t="shared" si="242"/>
        <v>4.0587999999999997</v>
      </c>
      <c r="S118" s="6">
        <f t="shared" si="242"/>
        <v>4.4815000000000005</v>
      </c>
      <c r="T118" s="6">
        <f t="shared" si="242"/>
        <v>5.2222999999999997</v>
      </c>
      <c r="U118" s="6">
        <f t="shared" si="242"/>
        <v>6.9620999999999995</v>
      </c>
      <c r="V118" s="6">
        <f t="shared" si="242"/>
        <v>7.4014000000000006</v>
      </c>
      <c r="W118" s="105">
        <f t="shared" si="242"/>
        <v>6.6727000000000007</v>
      </c>
      <c r="X118" s="90">
        <f t="shared" ref="X118" si="243">+SUM(K115:K118)+SUM(J119:J126)</f>
        <v>5.9754999999999994</v>
      </c>
      <c r="Y118" s="117">
        <f>+X118/W118-1</f>
        <v>-0.10448544067618826</v>
      </c>
      <c r="Z118" s="113">
        <f>+POWER(X118/S118,0.2)-1</f>
        <v>5.9229749851799518E-2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0.31180000000000002</v>
      </c>
      <c r="K119" s="104"/>
      <c r="L119" s="91"/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244">+SUM(C115:C119)+SUM(B120:B126)</f>
        <v>3.8315999999999999</v>
      </c>
      <c r="Q119" s="6">
        <f t="shared" si="244"/>
        <v>4.2587000000000002</v>
      </c>
      <c r="R119" s="6">
        <f t="shared" si="244"/>
        <v>3.9379999999999997</v>
      </c>
      <c r="S119" s="6">
        <f t="shared" si="244"/>
        <v>4.4656000000000002</v>
      </c>
      <c r="T119" s="6">
        <f t="shared" si="244"/>
        <v>5.4170999999999996</v>
      </c>
      <c r="U119" s="6">
        <f t="shared" si="244"/>
        <v>7.0746000000000002</v>
      </c>
      <c r="V119" s="6">
        <f t="shared" si="244"/>
        <v>7.3878000000000013</v>
      </c>
      <c r="W119" s="105">
        <f t="shared" si="244"/>
        <v>6.4345000000000008</v>
      </c>
      <c r="X119" s="90"/>
      <c r="Y119" s="117"/>
      <c r="Z119" s="113"/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/>
      <c r="L120" s="91"/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245">+SUM(C115:C120)+SUM(B121:B126)</f>
        <v>3.8651</v>
      </c>
      <c r="Q120" s="6">
        <f t="shared" si="245"/>
        <v>4.2109000000000005</v>
      </c>
      <c r="R120" s="6">
        <f t="shared" si="245"/>
        <v>4.0318000000000005</v>
      </c>
      <c r="S120" s="6">
        <f t="shared" si="245"/>
        <v>4.5454000000000008</v>
      </c>
      <c r="T120" s="6">
        <f t="shared" si="245"/>
        <v>5.4786999999999999</v>
      </c>
      <c r="U120" s="6">
        <f t="shared" si="245"/>
        <v>7.3133999999999997</v>
      </c>
      <c r="V120" s="6">
        <f t="shared" si="245"/>
        <v>7.2397000000000009</v>
      </c>
      <c r="W120" s="105">
        <f t="shared" si="245"/>
        <v>6.3364000000000003</v>
      </c>
      <c r="X120" s="90"/>
      <c r="Y120" s="117"/>
      <c r="Z120" s="113"/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/>
      <c r="L121" s="91"/>
      <c r="M121" s="2"/>
      <c r="N121" s="89" t="s">
        <v>4</v>
      </c>
      <c r="O121" s="104">
        <f>+'[2]CONSUMO EN ARGENTINA POR COLOR'!I1161*9</f>
        <v>4.035037</v>
      </c>
      <c r="P121" s="6">
        <f t="shared" ref="P121:W121" si="246">+SUM(C115:C121)+SUM(B122:B126)</f>
        <v>3.7990000000000004</v>
      </c>
      <c r="Q121" s="6">
        <f t="shared" si="246"/>
        <v>4.3432000000000004</v>
      </c>
      <c r="R121" s="6">
        <f t="shared" si="246"/>
        <v>4.0585000000000004</v>
      </c>
      <c r="S121" s="6">
        <f t="shared" si="246"/>
        <v>4.4793000000000003</v>
      </c>
      <c r="T121" s="6">
        <f t="shared" si="246"/>
        <v>5.8956</v>
      </c>
      <c r="U121" s="6">
        <f t="shared" si="246"/>
        <v>7.2085000000000008</v>
      </c>
      <c r="V121" s="6">
        <f t="shared" si="246"/>
        <v>7.2786</v>
      </c>
      <c r="W121" s="105">
        <f t="shared" si="246"/>
        <v>6.0628999999999991</v>
      </c>
      <c r="X121" s="90"/>
      <c r="Y121" s="117"/>
      <c r="Z121" s="113"/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/>
      <c r="L122" s="91"/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247">+SUM(C115:C122)+SUM(B123:B126)</f>
        <v>3.8681000000000001</v>
      </c>
      <c r="Q122" s="6">
        <f t="shared" si="247"/>
        <v>4.5524000000000004</v>
      </c>
      <c r="R122" s="6">
        <f t="shared" si="247"/>
        <v>4.0091000000000001</v>
      </c>
      <c r="S122" s="6">
        <f t="shared" si="247"/>
        <v>4.3951000000000002</v>
      </c>
      <c r="T122" s="6">
        <f t="shared" si="247"/>
        <v>6.1453000000000007</v>
      </c>
      <c r="U122" s="6">
        <f t="shared" si="247"/>
        <v>7.4749999999999996</v>
      </c>
      <c r="V122" s="6">
        <f t="shared" si="247"/>
        <v>7.1536</v>
      </c>
      <c r="W122" s="105">
        <f t="shared" si="247"/>
        <v>5.7960999999999991</v>
      </c>
      <c r="X122" s="90"/>
      <c r="Y122" s="117"/>
      <c r="Z122" s="113"/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/>
      <c r="L123" s="91"/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248">+SUM(C115:C123)+SUM(B124:B126)</f>
        <v>3.7401</v>
      </c>
      <c r="Q123" s="6">
        <f t="shared" si="248"/>
        <v>4.5235000000000003</v>
      </c>
      <c r="R123" s="6">
        <f t="shared" si="248"/>
        <v>3.9356999999999998</v>
      </c>
      <c r="S123" s="6">
        <f t="shared" si="248"/>
        <v>4.43</v>
      </c>
      <c r="T123" s="6">
        <f t="shared" si="248"/>
        <v>6.4730000000000008</v>
      </c>
      <c r="U123" s="6">
        <f t="shared" si="248"/>
        <v>7.6507000000000005</v>
      </c>
      <c r="V123" s="6">
        <f t="shared" si="248"/>
        <v>7.1013000000000002</v>
      </c>
      <c r="W123" s="67">
        <f t="shared" si="248"/>
        <v>5.7365999999999993</v>
      </c>
      <c r="X123" s="37"/>
      <c r="Y123" s="78"/>
      <c r="Z123" s="7"/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/>
      <c r="L124" s="91"/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249">+SUM(C115:C124)+SUM(B125:B126)</f>
        <v>4.0316999999999998</v>
      </c>
      <c r="Q124" s="6">
        <f t="shared" si="249"/>
        <v>4.5227000000000004</v>
      </c>
      <c r="R124" s="6">
        <f t="shared" si="249"/>
        <v>3.5801999999999996</v>
      </c>
      <c r="S124" s="6">
        <f t="shared" si="249"/>
        <v>4.7496</v>
      </c>
      <c r="T124" s="6">
        <f t="shared" si="249"/>
        <v>6.5540000000000003</v>
      </c>
      <c r="U124" s="6">
        <f t="shared" si="249"/>
        <v>7.7708999999999993</v>
      </c>
      <c r="V124" s="6">
        <f t="shared" si="249"/>
        <v>7.2581000000000007</v>
      </c>
      <c r="W124" s="105">
        <f t="shared" si="249"/>
        <v>5.2869999999999999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250">+SUM(C115:C125)+SUM(B126)</f>
        <v>4.1616999999999997</v>
      </c>
      <c r="Q125" s="6">
        <f t="shared" si="250"/>
        <v>4.3021000000000003</v>
      </c>
      <c r="R125" s="6">
        <f t="shared" si="250"/>
        <v>3.6025999999999994</v>
      </c>
      <c r="S125" s="6">
        <f t="shared" si="250"/>
        <v>5.0039999999999996</v>
      </c>
      <c r="T125" s="6">
        <f t="shared" si="250"/>
        <v>6.5703000000000005</v>
      </c>
      <c r="U125" s="6">
        <f t="shared" si="250"/>
        <v>7.9078999999999997</v>
      </c>
      <c r="V125" s="6">
        <f t="shared" si="250"/>
        <v>7.118100000000001</v>
      </c>
      <c r="W125" s="105">
        <f t="shared" si="250"/>
        <v>5.2683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251">+SUM(C115:C126)</f>
        <v>4.2797999999999998</v>
      </c>
      <c r="Q126" s="6">
        <f t="shared" si="251"/>
        <v>4.0048000000000004</v>
      </c>
      <c r="R126" s="6">
        <f t="shared" si="251"/>
        <v>3.9343999999999997</v>
      </c>
      <c r="S126" s="6">
        <f t="shared" si="251"/>
        <v>5.0224000000000002</v>
      </c>
      <c r="T126" s="6">
        <f t="shared" si="251"/>
        <v>6.6241000000000003</v>
      </c>
      <c r="U126" s="6">
        <f t="shared" si="251"/>
        <v>7.8365999999999998</v>
      </c>
      <c r="V126" s="6">
        <f t="shared" ref="V126:W126" si="252">+SUM(I115:I126)</f>
        <v>7.0443000000000007</v>
      </c>
      <c r="W126" s="105">
        <f t="shared" si="252"/>
        <v>5.4390000000000001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253">SUM(C115:C126)</f>
        <v>4.2797999999999998</v>
      </c>
      <c r="D127" s="83">
        <f t="shared" ref="D127" si="254">SUM(D115:D126)</f>
        <v>4.0048000000000004</v>
      </c>
      <c r="E127" s="83">
        <f t="shared" ref="E127" si="255">SUM(E115:E126)</f>
        <v>3.9343999999999997</v>
      </c>
      <c r="F127" s="83">
        <f t="shared" ref="F127:H127" si="256">SUM(F115:F126)</f>
        <v>5.0224000000000002</v>
      </c>
      <c r="G127" s="83">
        <f t="shared" si="256"/>
        <v>6.6241000000000003</v>
      </c>
      <c r="H127" s="83">
        <f t="shared" si="256"/>
        <v>7.8365999999999998</v>
      </c>
      <c r="I127" s="83">
        <f t="shared" ref="I127:J127" si="257">SUM(I115:I126)</f>
        <v>7.0443000000000007</v>
      </c>
      <c r="J127" s="107">
        <f t="shared" si="257"/>
        <v>5.4390000000000001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258">+AVERAGE(Q115:Q126)</f>
        <v>4.3035333333333341</v>
      </c>
      <c r="R127" s="83">
        <f t="shared" ref="R127" si="259">+AVERAGE(R115:R126)</f>
        <v>3.8957250000000001</v>
      </c>
      <c r="S127" s="83">
        <f t="shared" ref="S127:X127" si="260">+AVERAGE(S115:S126)</f>
        <v>4.5483500000000001</v>
      </c>
      <c r="T127" s="83">
        <f t="shared" si="260"/>
        <v>5.7892749999999999</v>
      </c>
      <c r="U127" s="83">
        <f t="shared" si="260"/>
        <v>7.2886416666666669</v>
      </c>
      <c r="V127" s="83">
        <f t="shared" si="260"/>
        <v>7.3079499999999991</v>
      </c>
      <c r="W127" s="107">
        <f t="shared" si="260"/>
        <v>6.1778416666666658</v>
      </c>
      <c r="X127" s="93">
        <f t="shared" si="260"/>
        <v>5.7384999999999993</v>
      </c>
      <c r="Y127" s="119">
        <f>+X127/W127-1</f>
        <v>-7.1115721375183627E-2</v>
      </c>
      <c r="Z127" s="173">
        <f>+POWER(X127/S127,0.2)-1</f>
        <v>4.7584108877103848E-2</v>
      </c>
    </row>
    <row r="128" spans="1:26" ht="25.5" x14ac:dyDescent="0.25">
      <c r="A128" s="95" t="s">
        <v>15</v>
      </c>
      <c r="B128" s="108">
        <f t="shared" ref="B128:H128" si="261">+B127/B$163</f>
        <v>3.8118502014574604E-3</v>
      </c>
      <c r="C128" s="84">
        <f t="shared" si="261"/>
        <v>4.7952779990655496E-3</v>
      </c>
      <c r="D128" s="84">
        <f t="shared" si="261"/>
        <v>4.7698784936340676E-3</v>
      </c>
      <c r="E128" s="84">
        <f t="shared" si="261"/>
        <v>4.4443475487916367E-3</v>
      </c>
      <c r="F128" s="84">
        <f t="shared" si="261"/>
        <v>5.3261740775752417E-3</v>
      </c>
      <c r="G128" s="84">
        <f t="shared" si="261"/>
        <v>7.903754154956583E-3</v>
      </c>
      <c r="H128" s="84">
        <f t="shared" si="261"/>
        <v>9.4689550558729497E-3</v>
      </c>
      <c r="I128" s="84">
        <f t="shared" ref="I128:J128" si="262">+I127/I$163</f>
        <v>9.0863686798316259E-3</v>
      </c>
      <c r="J128" s="109">
        <f t="shared" si="262"/>
        <v>7.1323394196955289E-3</v>
      </c>
      <c r="K128" s="109"/>
      <c r="L128" s="97"/>
      <c r="M128" s="3"/>
      <c r="N128" s="95" t="s">
        <v>15</v>
      </c>
      <c r="O128" s="108">
        <f t="shared" ref="O128:W128" si="263">+O127/O$163</f>
        <v>3.8402568290348727E-3</v>
      </c>
      <c r="P128" s="84">
        <f t="shared" si="263"/>
        <v>4.2394889105974859E-3</v>
      </c>
      <c r="Q128" s="84">
        <f t="shared" si="263"/>
        <v>4.9450012908687909E-3</v>
      </c>
      <c r="R128" s="84">
        <f t="shared" si="263"/>
        <v>4.5585018413739223E-3</v>
      </c>
      <c r="S128" s="84">
        <f t="shared" si="263"/>
        <v>4.951206303746087E-3</v>
      </c>
      <c r="T128" s="84">
        <f t="shared" si="263"/>
        <v>6.5518340057569048E-3</v>
      </c>
      <c r="U128" s="84">
        <f t="shared" si="263"/>
        <v>8.6508474291953005E-3</v>
      </c>
      <c r="V128" s="84">
        <f t="shared" si="263"/>
        <v>9.2546920583991762E-3</v>
      </c>
      <c r="W128" s="109">
        <f t="shared" si="263"/>
        <v>8.0679484878545295E-3</v>
      </c>
      <c r="X128" s="96">
        <f t="shared" ref="X128" si="264">+X127/X$163</f>
        <v>7.4382850891338646E-3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265">+D127/C127-1</f>
        <v>-6.4255339034534176E-2</v>
      </c>
      <c r="E129" s="85">
        <f t="shared" ref="E129" si="266">+E127/D127-1</f>
        <v>-1.7578905313623827E-2</v>
      </c>
      <c r="F129" s="85">
        <f t="shared" ref="F129:J129" si="267">+F127/E127-1</f>
        <v>0.27653517690117946</v>
      </c>
      <c r="G129" s="85">
        <f t="shared" si="267"/>
        <v>0.3189112774769034</v>
      </c>
      <c r="H129" s="85">
        <f t="shared" si="267"/>
        <v>0.18304373424314235</v>
      </c>
      <c r="I129" s="85">
        <f t="shared" si="267"/>
        <v>-0.10110251894954436</v>
      </c>
      <c r="J129" s="111">
        <f t="shared" si="267"/>
        <v>-0.22788637621907082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268">+Q127/P127-1</f>
        <v>0.11281089648956399</v>
      </c>
      <c r="R129" s="85">
        <f t="shared" ref="R129" si="269">+R127/Q127-1</f>
        <v>-9.4761281427664268E-2</v>
      </c>
      <c r="S129" s="85">
        <f t="shared" ref="S129" si="270">+S127/R127-1</f>
        <v>0.16752337498155034</v>
      </c>
      <c r="T129" s="85">
        <f t="shared" ref="T129" si="271">+T127/S127-1</f>
        <v>0.2728297074763375</v>
      </c>
      <c r="U129" s="85">
        <f t="shared" ref="U129" si="272">+U127/T127-1</f>
        <v>0.25899040323126243</v>
      </c>
      <c r="V129" s="85">
        <f t="shared" ref="V129" si="273">+V127/U127-1</f>
        <v>2.6490989976410972E-3</v>
      </c>
      <c r="W129" s="111">
        <f t="shared" ref="W129:X129" si="274">+W127/V127-1</f>
        <v>-0.15464095038052172</v>
      </c>
      <c r="X129" s="100">
        <f t="shared" si="274"/>
        <v>-7.1115721375183627E-2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35" t="s">
        <v>257</v>
      </c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7"/>
      <c r="M131" s="2"/>
      <c r="N131" s="335" t="s">
        <v>258</v>
      </c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7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275">+C132+1</f>
        <v>2018</v>
      </c>
      <c r="E132" s="82">
        <f t="shared" si="275"/>
        <v>2019</v>
      </c>
      <c r="F132" s="82">
        <f t="shared" si="275"/>
        <v>2020</v>
      </c>
      <c r="G132" s="82">
        <f t="shared" si="275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276">+P132+1</f>
        <v>2018</v>
      </c>
      <c r="R132" s="82">
        <f t="shared" si="276"/>
        <v>2019</v>
      </c>
      <c r="S132" s="82">
        <f t="shared" si="276"/>
        <v>2020</v>
      </c>
      <c r="T132" s="82">
        <f t="shared" ref="T132" si="277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 t="shared" ref="L133" si="278">+J133/I133-1</f>
        <v>-0.11470424586477546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279">+SUM(C133)+SUM(B134:B144)</f>
        <v>697.25278299999991</v>
      </c>
      <c r="Q133" s="6">
        <f t="shared" si="279"/>
        <v>655.57489999999984</v>
      </c>
      <c r="R133" s="6">
        <f t="shared" si="279"/>
        <v>631.26509999999996</v>
      </c>
      <c r="S133" s="6">
        <f t="shared" si="279"/>
        <v>683.58280000000002</v>
      </c>
      <c r="T133" s="6">
        <f t="shared" si="279"/>
        <v>731.38429999999994</v>
      </c>
      <c r="U133" s="6">
        <f t="shared" si="279"/>
        <v>611.74720000000002</v>
      </c>
      <c r="V133" s="6">
        <f t="shared" si="279"/>
        <v>595.53499999999997</v>
      </c>
      <c r="W133" s="105">
        <f t="shared" si="279"/>
        <v>556.24479999999994</v>
      </c>
      <c r="X133" s="90">
        <f t="shared" si="279"/>
        <v>565.101</v>
      </c>
      <c r="Y133" s="117">
        <f>+X133/W133-1</f>
        <v>1.5921407265290455E-2</v>
      </c>
      <c r="Z133" s="113">
        <f>+POWER(X133/S133,0.2)-1</f>
        <v>-3.7353159363132993E-2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" si="280">+J134/I134-1</f>
        <v>5.6460564348836062E-2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281">+SUM(C133:C134)+SUM(B135:B144)</f>
        <v>691.59158300000001</v>
      </c>
      <c r="Q134" s="6">
        <f t="shared" si="281"/>
        <v>653.58170000000007</v>
      </c>
      <c r="R134" s="6">
        <f t="shared" si="281"/>
        <v>634.23189999999988</v>
      </c>
      <c r="S134" s="6">
        <f t="shared" si="281"/>
        <v>689.30270000000007</v>
      </c>
      <c r="T134" s="6">
        <f t="shared" si="281"/>
        <v>723.08169999999996</v>
      </c>
      <c r="U134" s="6">
        <f t="shared" si="281"/>
        <v>608.92579999999998</v>
      </c>
      <c r="V134" s="6">
        <f t="shared" si="281"/>
        <v>591.87930000000006</v>
      </c>
      <c r="W134" s="105">
        <f t="shared" si="281"/>
        <v>558.22350000000006</v>
      </c>
      <c r="X134" s="90">
        <f t="shared" ref="X134" si="282">+SUM(K133:K134)+SUM(J135:J144)</f>
        <v>566.69749999999999</v>
      </c>
      <c r="Y134" s="117">
        <f>+X134/W134-1</f>
        <v>1.5180299647004958E-2</v>
      </c>
      <c r="Z134" s="113">
        <f>+POWER(X134/S134,0.2)-1</f>
        <v>-3.8413708324684603E-2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ref="L135" si="283">+J135/I135-1</f>
        <v>-9.2467502839316928E-2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284">+SUM(C133:C135)+SUM(B136:B144)</f>
        <v>686.51729999999998</v>
      </c>
      <c r="Q135" s="6">
        <f t="shared" si="284"/>
        <v>651.63639999999998</v>
      </c>
      <c r="R135" s="6">
        <f t="shared" si="284"/>
        <v>636.48739999999998</v>
      </c>
      <c r="S135" s="6">
        <f t="shared" si="284"/>
        <v>687.89960000000008</v>
      </c>
      <c r="T135" s="6">
        <f t="shared" si="284"/>
        <v>715.50449999999989</v>
      </c>
      <c r="U135" s="6">
        <f t="shared" si="284"/>
        <v>616.3143</v>
      </c>
      <c r="V135" s="6">
        <f t="shared" si="284"/>
        <v>582.42740000000003</v>
      </c>
      <c r="W135" s="105">
        <f t="shared" si="284"/>
        <v>554.49459999999999</v>
      </c>
      <c r="X135" s="90">
        <f t="shared" ref="X135" si="285">+SUM(K133:K135)+SUM(J136:J144)</f>
        <v>572.35199999999998</v>
      </c>
      <c r="Y135" s="117">
        <f>+X135/W135-1</f>
        <v>3.220482219303844E-2</v>
      </c>
      <c r="Z135" s="113">
        <f>+POWER(X135/S135,0.2)-1</f>
        <v>-3.6109656179830862E-2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ref="L136" si="286">+J136/I136-1</f>
        <v>-9.5415197020751852E-2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287">+SUM(C133:C136)+SUM(B137:B144)</f>
        <v>674.09159999999997</v>
      </c>
      <c r="Q136" s="6">
        <f t="shared" si="287"/>
        <v>653.19950000000006</v>
      </c>
      <c r="R136" s="6">
        <f t="shared" si="287"/>
        <v>638.07029999999997</v>
      </c>
      <c r="S136" s="6">
        <f t="shared" si="287"/>
        <v>690.976</v>
      </c>
      <c r="T136" s="6">
        <f t="shared" si="287"/>
        <v>706.69879999999989</v>
      </c>
      <c r="U136" s="6">
        <f t="shared" si="287"/>
        <v>616.83010000000002</v>
      </c>
      <c r="V136" s="6">
        <f t="shared" si="287"/>
        <v>577.94450000000006</v>
      </c>
      <c r="W136" s="105">
        <f t="shared" si="287"/>
        <v>550.61809999999991</v>
      </c>
      <c r="X136" s="90">
        <f t="shared" ref="X136" si="288">+SUM(K133:K136)+SUM(J137:J144)</f>
        <v>578.43240000000003</v>
      </c>
      <c r="Y136" s="117">
        <f>+X136/W136-1</f>
        <v>5.0514685223751465E-2</v>
      </c>
      <c r="Z136" s="113">
        <f>+POWER(X136/S136,0.2)-1</f>
        <v>-3.4931968345096598E-2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47.9756</v>
      </c>
      <c r="K137" s="104"/>
      <c r="L137" s="91"/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289">+SUM(C133:C137)+SUM(B138:B144)</f>
        <v>673.96900000000005</v>
      </c>
      <c r="Q137" s="6">
        <f t="shared" si="289"/>
        <v>655.22910000000002</v>
      </c>
      <c r="R137" s="6">
        <f t="shared" si="289"/>
        <v>640.73990000000003</v>
      </c>
      <c r="S137" s="6">
        <f t="shared" si="289"/>
        <v>693.70309999999995</v>
      </c>
      <c r="T137" s="6">
        <f t="shared" si="289"/>
        <v>684.91159999999991</v>
      </c>
      <c r="U137" s="6">
        <f t="shared" si="289"/>
        <v>619.22710000000006</v>
      </c>
      <c r="V137" s="6">
        <f t="shared" si="289"/>
        <v>574.56790000000001</v>
      </c>
      <c r="W137" s="105">
        <f t="shared" si="289"/>
        <v>555.63040000000001</v>
      </c>
      <c r="X137" s="90"/>
      <c r="Y137" s="117"/>
      <c r="Z137" s="113"/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/>
      <c r="L138" s="91"/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290">+SUM(C133:C138)+SUM(B139:B144)</f>
        <v>681.71759999999995</v>
      </c>
      <c r="Q138" s="6">
        <f t="shared" si="290"/>
        <v>649.70090000000005</v>
      </c>
      <c r="R138" s="6">
        <f t="shared" si="290"/>
        <v>637.2847999999999</v>
      </c>
      <c r="S138" s="6">
        <f t="shared" si="290"/>
        <v>711.49679999999989</v>
      </c>
      <c r="T138" s="6">
        <f t="shared" si="290"/>
        <v>674.49809999999991</v>
      </c>
      <c r="U138" s="6">
        <f t="shared" si="290"/>
        <v>609.24590000000001</v>
      </c>
      <c r="V138" s="6">
        <f t="shared" si="290"/>
        <v>570.2962</v>
      </c>
      <c r="W138" s="105">
        <f t="shared" si="290"/>
        <v>550.13869999999997</v>
      </c>
      <c r="X138" s="90"/>
      <c r="Y138" s="117"/>
      <c r="Z138" s="113"/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/>
      <c r="L139" s="91"/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291">+SUM(C133:C139)+SUM(B140:B144)</f>
        <v>681.94039999999995</v>
      </c>
      <c r="Q139" s="6">
        <f t="shared" si="291"/>
        <v>646.28219999999999</v>
      </c>
      <c r="R139" s="6">
        <f t="shared" si="291"/>
        <v>641.1345</v>
      </c>
      <c r="S139" s="6">
        <f t="shared" si="291"/>
        <v>730.20589999999993</v>
      </c>
      <c r="T139" s="6">
        <f t="shared" si="291"/>
        <v>652.47779999999989</v>
      </c>
      <c r="U139" s="6">
        <f t="shared" si="291"/>
        <v>610.35979999999995</v>
      </c>
      <c r="V139" s="6">
        <f t="shared" si="291"/>
        <v>566.53379999999993</v>
      </c>
      <c r="W139" s="105">
        <f t="shared" si="291"/>
        <v>553.26200000000006</v>
      </c>
      <c r="X139" s="90"/>
      <c r="Y139" s="117"/>
      <c r="Z139" s="113"/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/>
      <c r="L140" s="91"/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292">+SUM(C133:C140)+SUM(B141:B144)</f>
        <v>675.27559999999994</v>
      </c>
      <c r="Q140" s="6">
        <f t="shared" si="292"/>
        <v>644.26980000000003</v>
      </c>
      <c r="R140" s="6">
        <f t="shared" si="292"/>
        <v>646.35879999999997</v>
      </c>
      <c r="S140" s="6">
        <f t="shared" si="292"/>
        <v>734.0797</v>
      </c>
      <c r="T140" s="6">
        <f t="shared" si="292"/>
        <v>644.6262999999999</v>
      </c>
      <c r="U140" s="6">
        <f t="shared" si="292"/>
        <v>611.08950000000004</v>
      </c>
      <c r="V140" s="6">
        <f t="shared" si="292"/>
        <v>564.68769999999995</v>
      </c>
      <c r="W140" s="105">
        <f t="shared" si="292"/>
        <v>554.05840000000001</v>
      </c>
      <c r="X140" s="90"/>
      <c r="Y140" s="117"/>
      <c r="Z140" s="113"/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/>
      <c r="L141" s="91"/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293">+SUM(C133:C141)+SUM(B142:B144)</f>
        <v>665.99680000000001</v>
      </c>
      <c r="Q141" s="6">
        <f t="shared" si="293"/>
        <v>639.72209999999995</v>
      </c>
      <c r="R141" s="6">
        <f t="shared" si="293"/>
        <v>652.80780000000004</v>
      </c>
      <c r="S141" s="6">
        <f t="shared" si="293"/>
        <v>738.96499999999992</v>
      </c>
      <c r="T141" s="6">
        <f t="shared" si="293"/>
        <v>634.83539999999994</v>
      </c>
      <c r="U141" s="6">
        <f t="shared" si="293"/>
        <v>610.46349999999995</v>
      </c>
      <c r="V141" s="6">
        <f t="shared" si="293"/>
        <v>560.82190000000003</v>
      </c>
      <c r="W141" s="67">
        <f t="shared" si="293"/>
        <v>555.80870000000004</v>
      </c>
      <c r="X141" s="37"/>
      <c r="Y141" s="78"/>
      <c r="Z141" s="7"/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294">+SUM(C133:C142)+SUM(B143:B144)</f>
        <v>661.5489</v>
      </c>
      <c r="Q142" s="6">
        <f t="shared" si="294"/>
        <v>635.87239999999997</v>
      </c>
      <c r="R142" s="6">
        <f t="shared" si="294"/>
        <v>663.65530000000001</v>
      </c>
      <c r="S142" s="6">
        <f t="shared" si="294"/>
        <v>739.30909999999994</v>
      </c>
      <c r="T142" s="6">
        <f t="shared" si="294"/>
        <v>622.35649999999998</v>
      </c>
      <c r="U142" s="6">
        <f t="shared" si="294"/>
        <v>614.96949999999993</v>
      </c>
      <c r="V142" s="6">
        <f t="shared" si="294"/>
        <v>559.26279999999997</v>
      </c>
      <c r="W142" s="105">
        <f t="shared" si="294"/>
        <v>553.26739999999995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295">+SUM(C133:C143)+SUM(B144)</f>
        <v>661.96240000000012</v>
      </c>
      <c r="Q143" s="6">
        <f t="shared" si="295"/>
        <v>627.56599999999992</v>
      </c>
      <c r="R143" s="6">
        <f t="shared" si="295"/>
        <v>671.32010000000002</v>
      </c>
      <c r="S143" s="6">
        <f t="shared" si="295"/>
        <v>738.0902000000001</v>
      </c>
      <c r="T143" s="6">
        <f t="shared" si="295"/>
        <v>620.80269999999996</v>
      </c>
      <c r="U143" s="6">
        <f t="shared" si="295"/>
        <v>611.30289999999991</v>
      </c>
      <c r="V143" s="6">
        <f t="shared" si="295"/>
        <v>556.71900000000005</v>
      </c>
      <c r="W143" s="105">
        <f t="shared" si="295"/>
        <v>557.12260000000003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296">+SUM(C133:C144)</f>
        <v>656.03910000000008</v>
      </c>
      <c r="Q144" s="6">
        <f t="shared" si="296"/>
        <v>629.16319999999996</v>
      </c>
      <c r="R144" s="6">
        <f t="shared" si="296"/>
        <v>675.61430000000007</v>
      </c>
      <c r="S144" s="6">
        <f t="shared" si="296"/>
        <v>738.24670000000003</v>
      </c>
      <c r="T144" s="6">
        <f t="shared" si="296"/>
        <v>619.30179999999996</v>
      </c>
      <c r="U144" s="6">
        <f t="shared" si="296"/>
        <v>595.64799999999991</v>
      </c>
      <c r="V144" s="6">
        <f t="shared" ref="V144:W144" si="297">+SUM(I133:I144)</f>
        <v>560.71830000000011</v>
      </c>
      <c r="W144" s="105">
        <f t="shared" si="297"/>
        <v>558.13609999999994</v>
      </c>
      <c r="X144" s="90"/>
      <c r="Y144" s="117"/>
      <c r="Z144" s="113"/>
    </row>
    <row r="145" spans="1:26" ht="25.5" x14ac:dyDescent="0.25">
      <c r="A145" s="92" t="s">
        <v>13</v>
      </c>
      <c r="B145" s="106">
        <f>SUM(B133:B144)</f>
        <v>706.77658300000007</v>
      </c>
      <c r="C145" s="83">
        <f t="shared" ref="C145" si="298">SUM(C133:C144)</f>
        <v>656.03910000000008</v>
      </c>
      <c r="D145" s="83">
        <f t="shared" ref="D145" si="299">SUM(D133:D144)</f>
        <v>629.16319999999996</v>
      </c>
      <c r="E145" s="83">
        <f t="shared" ref="E145" si="300">SUM(E133:E144)</f>
        <v>675.61430000000007</v>
      </c>
      <c r="F145" s="83">
        <f t="shared" ref="F145:H145" si="301">SUM(F133:F144)</f>
        <v>738.24670000000003</v>
      </c>
      <c r="G145" s="83">
        <f t="shared" si="301"/>
        <v>619.30179999999996</v>
      </c>
      <c r="H145" s="83">
        <f t="shared" si="301"/>
        <v>595.64799999999991</v>
      </c>
      <c r="I145" s="83">
        <f t="shared" ref="I145:J145" si="302">SUM(I133:I144)</f>
        <v>560.71830000000011</v>
      </c>
      <c r="J145" s="107">
        <f t="shared" si="302"/>
        <v>558.13609999999994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03">+AVERAGE(Q133:Q144)</f>
        <v>645.1498499999999</v>
      </c>
      <c r="R145" s="83">
        <f t="shared" ref="R145" si="304">+AVERAGE(R133:R144)</f>
        <v>647.41418333333331</v>
      </c>
      <c r="S145" s="83">
        <f t="shared" ref="S145:X145" si="305">+AVERAGE(S133:S144)</f>
        <v>714.65480000000014</v>
      </c>
      <c r="T145" s="83">
        <f t="shared" si="305"/>
        <v>669.20662499999992</v>
      </c>
      <c r="U145" s="83">
        <f t="shared" si="305"/>
        <v>611.34363333333329</v>
      </c>
      <c r="V145" s="83">
        <f t="shared" si="305"/>
        <v>571.78281666666669</v>
      </c>
      <c r="W145" s="107">
        <f t="shared" si="305"/>
        <v>554.75044166666657</v>
      </c>
      <c r="X145" s="93">
        <f t="shared" si="305"/>
        <v>570.64572499999997</v>
      </c>
      <c r="Y145" s="119">
        <f>+X145/W145-1</f>
        <v>2.8653034120312393E-2</v>
      </c>
      <c r="Z145" s="173">
        <f>+POWER(X145/S145,0.2)-1</f>
        <v>-4.4008456497494519E-2</v>
      </c>
    </row>
    <row r="146" spans="1:26" ht="25.5" x14ac:dyDescent="0.25">
      <c r="A146" s="95" t="s">
        <v>15</v>
      </c>
      <c r="B146" s="108">
        <f t="shared" ref="B146:H146" si="306">+B145/B$163</f>
        <v>0.75058205276337631</v>
      </c>
      <c r="C146" s="84">
        <f t="shared" si="306"/>
        <v>0.73505534435178388</v>
      </c>
      <c r="D146" s="84">
        <f t="shared" si="306"/>
        <v>0.74935877363813153</v>
      </c>
      <c r="E146" s="84">
        <f t="shared" si="306"/>
        <v>0.76318238057482157</v>
      </c>
      <c r="F146" s="84">
        <f t="shared" si="306"/>
        <v>0.78289870109817339</v>
      </c>
      <c r="G146" s="84">
        <f t="shared" si="306"/>
        <v>0.73893950497759553</v>
      </c>
      <c r="H146" s="84">
        <f t="shared" si="306"/>
        <v>0.71972081529242393</v>
      </c>
      <c r="I146" s="84">
        <f t="shared" ref="I146:J146" si="307">+I145/I$163</f>
        <v>0.72326465359630254</v>
      </c>
      <c r="J146" s="109">
        <f t="shared" si="307"/>
        <v>0.73190220768250147</v>
      </c>
      <c r="K146" s="109"/>
      <c r="L146" s="97"/>
      <c r="M146" s="3"/>
      <c r="N146" s="95" t="s">
        <v>15</v>
      </c>
      <c r="O146" s="108">
        <f t="shared" ref="O146:W146" si="308">+O145/O$163</f>
        <v>0.76452441118916581</v>
      </c>
      <c r="P146" s="84">
        <f t="shared" si="308"/>
        <v>0.74069089106855523</v>
      </c>
      <c r="Q146" s="84">
        <f t="shared" si="308"/>
        <v>0.74131337994836943</v>
      </c>
      <c r="R146" s="84">
        <f t="shared" si="308"/>
        <v>0.75755828423633453</v>
      </c>
      <c r="S146" s="84">
        <f t="shared" si="308"/>
        <v>0.7779531809914364</v>
      </c>
      <c r="T146" s="84">
        <f t="shared" si="308"/>
        <v>0.7573540249086127</v>
      </c>
      <c r="U146" s="84">
        <f t="shared" si="308"/>
        <v>0.72560028886634076</v>
      </c>
      <c r="V146" s="84">
        <f t="shared" si="308"/>
        <v>0.72409826182911941</v>
      </c>
      <c r="W146" s="109">
        <f t="shared" si="308"/>
        <v>0.72447599476859625</v>
      </c>
      <c r="X146" s="96">
        <f t="shared" ref="X146" si="309">+X145/X$163</f>
        <v>0.7396751045474399</v>
      </c>
      <c r="Y146" s="118"/>
      <c r="Z146" s="114"/>
    </row>
    <row r="147" spans="1:26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10">+D145/C145-1</f>
        <v>-4.0966917977907302E-2</v>
      </c>
      <c r="E147" s="85">
        <f t="shared" ref="E147" si="311">+E145/D145-1</f>
        <v>7.3829969712151167E-2</v>
      </c>
      <c r="F147" s="85">
        <f t="shared" ref="F147:J147" si="312">+F145/E145-1</f>
        <v>9.2704372894416132E-2</v>
      </c>
      <c r="G147" s="85">
        <f t="shared" si="312"/>
        <v>-0.16111809236668462</v>
      </c>
      <c r="H147" s="85">
        <f t="shared" si="312"/>
        <v>-3.8194302034969096E-2</v>
      </c>
      <c r="I147" s="85">
        <f t="shared" si="312"/>
        <v>-5.8641513108412702E-2</v>
      </c>
      <c r="J147" s="111">
        <f t="shared" si="312"/>
        <v>-4.6051644827718174E-3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313">+Q145/P145-1</f>
        <v>-4.5154075353372125E-2</v>
      </c>
      <c r="R147" s="85">
        <f t="shared" ref="R147" si="314">+R145/Q145-1</f>
        <v>3.5097789038212035E-3</v>
      </c>
      <c r="S147" s="85">
        <f t="shared" ref="S147" si="315">+S145/R145-1</f>
        <v>0.10386027738914505</v>
      </c>
      <c r="T147" s="85">
        <f t="shared" ref="T147" si="316">+T145/S145-1</f>
        <v>-6.35945844063458E-2</v>
      </c>
      <c r="U147" s="85">
        <f t="shared" ref="U147" si="317">+U145/T145-1</f>
        <v>-8.646506102157403E-2</v>
      </c>
      <c r="V147" s="85">
        <f t="shared" ref="V147" si="318">+V145/U145-1</f>
        <v>-6.4711259772122554E-2</v>
      </c>
      <c r="W147" s="111">
        <f t="shared" ref="W147:X147" si="319">+W145/V145-1</f>
        <v>-2.978818968239394E-2</v>
      </c>
      <c r="X147" s="100">
        <f t="shared" si="319"/>
        <v>2.8653034120312393E-2</v>
      </c>
      <c r="Y147" s="99"/>
      <c r="Z147" s="115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28" t="s">
        <v>241</v>
      </c>
      <c r="B149" s="329"/>
      <c r="C149" s="329"/>
      <c r="D149" s="329"/>
      <c r="E149" s="329"/>
      <c r="F149" s="329"/>
      <c r="G149" s="329"/>
      <c r="H149" s="329"/>
      <c r="I149" s="329"/>
      <c r="J149" s="329"/>
      <c r="K149" s="329"/>
      <c r="L149" s="330"/>
      <c r="M149" s="2"/>
      <c r="N149" s="328" t="s">
        <v>242</v>
      </c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30"/>
    </row>
    <row r="150" spans="1:26" ht="51" x14ac:dyDescent="0.25">
      <c r="A150" s="38"/>
      <c r="B150" s="191">
        <v>2016</v>
      </c>
      <c r="C150" s="39">
        <f>+B150+1</f>
        <v>2017</v>
      </c>
      <c r="D150" s="39">
        <f t="shared" ref="D150:G150" si="320">+C150+1</f>
        <v>2018</v>
      </c>
      <c r="E150" s="39">
        <f t="shared" si="320"/>
        <v>2019</v>
      </c>
      <c r="F150" s="39">
        <f t="shared" si="320"/>
        <v>2020</v>
      </c>
      <c r="G150" s="39">
        <f t="shared" si="320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21">+P150+1</f>
        <v>2018</v>
      </c>
      <c r="R150" s="64">
        <f t="shared" si="321"/>
        <v>2019</v>
      </c>
      <c r="S150" s="64">
        <f t="shared" si="321"/>
        <v>2020</v>
      </c>
      <c r="T150" s="64">
        <f t="shared" si="321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 t="shared" ref="L151" si="322">+J151/I151-1</f>
        <v>-9.0893265466361783E-2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323">+SUM(C151)+SUM(B152:B162)</f>
        <v>932.87149999999997</v>
      </c>
      <c r="Q151" s="80">
        <f t="shared" si="323"/>
        <v>893.31579999999997</v>
      </c>
      <c r="R151" s="80">
        <f t="shared" si="323"/>
        <v>840.39490000000001</v>
      </c>
      <c r="S151" s="6">
        <f t="shared" si="323"/>
        <v>893.8569</v>
      </c>
      <c r="T151" s="6">
        <f t="shared" si="323"/>
        <v>938.60810000000004</v>
      </c>
      <c r="U151" s="6">
        <f t="shared" si="323"/>
        <v>830.15379999999993</v>
      </c>
      <c r="V151" s="6">
        <f t="shared" si="323"/>
        <v>825.4905</v>
      </c>
      <c r="W151" s="67">
        <f t="shared" si="323"/>
        <v>770.2476999999999</v>
      </c>
      <c r="X151" s="37">
        <f t="shared" si="323"/>
        <v>767.58888899999988</v>
      </c>
      <c r="Y151" s="78">
        <f>+X151/W151-1</f>
        <v>-3.4518908657565905E-3</v>
      </c>
      <c r="Z151" s="7">
        <f>+POWER(X151/S151,0.2)-1</f>
        <v>-2.9999101543284334E-2</v>
      </c>
    </row>
    <row r="152" spans="1:26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" si="324">+J152/I152-1</f>
        <v>1.5722360983304817E-2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325">+SUM(C151:C152)+SUM(B153:B162)</f>
        <v>923.47460000000012</v>
      </c>
      <c r="Q152" s="80">
        <f t="shared" si="325"/>
        <v>892.93700000000001</v>
      </c>
      <c r="R152" s="80">
        <f t="shared" si="325"/>
        <v>842.95449999999994</v>
      </c>
      <c r="S152" s="6">
        <f t="shared" si="325"/>
        <v>898.68409999999994</v>
      </c>
      <c r="T152" s="6">
        <f t="shared" si="325"/>
        <v>932.46149999999989</v>
      </c>
      <c r="U152" s="6">
        <f t="shared" si="325"/>
        <v>829.73939999999993</v>
      </c>
      <c r="V152" s="6">
        <f t="shared" si="325"/>
        <v>817.79320000000007</v>
      </c>
      <c r="W152" s="67">
        <f t="shared" si="325"/>
        <v>771.02509999999984</v>
      </c>
      <c r="X152" s="37">
        <f t="shared" ref="X152" si="326">+SUM(K151:K152)+SUM(J153:J162)</f>
        <v>770.64888899999994</v>
      </c>
      <c r="Y152" s="78">
        <f>+X152/W152-1</f>
        <v>-4.8793612555531052E-4</v>
      </c>
      <c r="Z152" s="7">
        <f>+POWER(X152/S152,0.2)-1</f>
        <v>-3.0272080184960637E-2</v>
      </c>
    </row>
    <row r="153" spans="1:26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ref="L153" si="327">+J153/I153-1</f>
        <v>-4.7823663347132284E-2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328">+SUM(C151:C153)+SUM(B154:B162)</f>
        <v>918.15149999999994</v>
      </c>
      <c r="Q153" s="80">
        <f t="shared" si="328"/>
        <v>891.11159999999995</v>
      </c>
      <c r="R153" s="80">
        <f t="shared" si="328"/>
        <v>841.53099999999995</v>
      </c>
      <c r="S153" s="6">
        <f t="shared" si="328"/>
        <v>895.24649999999997</v>
      </c>
      <c r="T153" s="6">
        <f t="shared" si="328"/>
        <v>925.15620000000001</v>
      </c>
      <c r="U153" s="6">
        <f t="shared" si="328"/>
        <v>845.11109999999996</v>
      </c>
      <c r="V153" s="6">
        <f t="shared" si="328"/>
        <v>803.11280000000011</v>
      </c>
      <c r="W153" s="67">
        <f t="shared" si="328"/>
        <v>768.28829999999994</v>
      </c>
      <c r="X153" s="37">
        <f t="shared" ref="X153" si="329">+SUM(K151:K153)+SUM(J154:J162)</f>
        <v>771.69958900000006</v>
      </c>
      <c r="Y153" s="78">
        <f>+X153/W153-1</f>
        <v>4.4401157742479658E-3</v>
      </c>
      <c r="Z153" s="7">
        <f>+POWER(X153/S153,0.2)-1</f>
        <v>-2.9264018814744164E-2</v>
      </c>
    </row>
    <row r="154" spans="1:26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ref="L154" si="330">+J154/I154-1</f>
        <v>-0.10782286267510555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331">+SUM(C151:C154)+SUM(B155:B162)</f>
        <v>904.81209999999987</v>
      </c>
      <c r="Q154" s="80">
        <f t="shared" si="331"/>
        <v>889.66149999999993</v>
      </c>
      <c r="R154" s="80">
        <f t="shared" si="331"/>
        <v>841.82469999999989</v>
      </c>
      <c r="S154" s="6">
        <f t="shared" si="331"/>
        <v>896.96340000000009</v>
      </c>
      <c r="T154" s="6">
        <f t="shared" si="331"/>
        <v>920.71730000000002</v>
      </c>
      <c r="U154" s="6">
        <f t="shared" si="331"/>
        <v>846.21069999999997</v>
      </c>
      <c r="V154" s="6">
        <f t="shared" si="331"/>
        <v>799.32870000000014</v>
      </c>
      <c r="W154" s="67">
        <f t="shared" si="331"/>
        <v>761.73969999999986</v>
      </c>
      <c r="X154" s="37">
        <f t="shared" ref="X154" si="332">+SUM(K151:K154)+SUM(J155:J162)</f>
        <v>775.98898900000006</v>
      </c>
      <c r="Y154" s="78">
        <f>+X154/W154-1</f>
        <v>1.8706244403436267E-2</v>
      </c>
      <c r="Z154" s="7">
        <f>+POWER(X154/S154,0.2)-1</f>
        <v>-2.8559585528883158E-2</v>
      </c>
    </row>
    <row r="155" spans="1:26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66.909099999999995</v>
      </c>
      <c r="K155" s="37"/>
      <c r="L155" s="7"/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333">+SUM(C151:C155)+SUM(B156:B162)</f>
        <v>909.51599999999985</v>
      </c>
      <c r="Q155" s="80">
        <f t="shared" si="333"/>
        <v>883.15359999999998</v>
      </c>
      <c r="R155" s="80">
        <f t="shared" si="333"/>
        <v>848.56669999999997</v>
      </c>
      <c r="S155" s="6">
        <f t="shared" si="333"/>
        <v>894.92180000000008</v>
      </c>
      <c r="T155" s="6">
        <f t="shared" si="333"/>
        <v>900.47329999999999</v>
      </c>
      <c r="U155" s="6">
        <f t="shared" si="333"/>
        <v>851.22109999999998</v>
      </c>
      <c r="V155" s="6">
        <f t="shared" si="333"/>
        <v>796.83029999999997</v>
      </c>
      <c r="W155" s="67">
        <f t="shared" si="333"/>
        <v>765.76340000000005</v>
      </c>
      <c r="X155" s="37"/>
      <c r="Y155" s="78"/>
      <c r="Z155" s="7"/>
    </row>
    <row r="156" spans="1:26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/>
      <c r="L156" s="7"/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334">+SUM(C151:C156)+SUM(B157:B162)</f>
        <v>919.3119999999999</v>
      </c>
      <c r="Q156" s="80">
        <f t="shared" si="334"/>
        <v>876.09320000000002</v>
      </c>
      <c r="R156" s="80">
        <f t="shared" si="334"/>
        <v>843.61899999999991</v>
      </c>
      <c r="S156" s="6">
        <f t="shared" si="334"/>
        <v>913.60750000000007</v>
      </c>
      <c r="T156" s="6">
        <f t="shared" si="334"/>
        <v>890.14640000000009</v>
      </c>
      <c r="U156" s="6">
        <f t="shared" si="334"/>
        <v>840.57370000000003</v>
      </c>
      <c r="V156" s="6">
        <f t="shared" si="334"/>
        <v>790.28679999999997</v>
      </c>
      <c r="W156" s="67">
        <f t="shared" si="334"/>
        <v>760.14370000000008</v>
      </c>
      <c r="X156" s="37"/>
      <c r="Y156" s="78"/>
      <c r="Z156" s="7"/>
    </row>
    <row r="157" spans="1:26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/>
      <c r="L157" s="7"/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335">+SUM(C151:C157)+SUM(B158:B162)</f>
        <v>921.2346</v>
      </c>
      <c r="Q157" s="80">
        <f t="shared" si="335"/>
        <v>871.11079999999993</v>
      </c>
      <c r="R157" s="80">
        <f t="shared" si="335"/>
        <v>847.25559999999996</v>
      </c>
      <c r="S157" s="6">
        <f t="shared" si="335"/>
        <v>931.34730000000002</v>
      </c>
      <c r="T157" s="6">
        <f t="shared" si="335"/>
        <v>870.0077</v>
      </c>
      <c r="U157" s="6">
        <f t="shared" si="335"/>
        <v>841.24529999999993</v>
      </c>
      <c r="V157" s="6">
        <f t="shared" si="335"/>
        <v>781.96199999999999</v>
      </c>
      <c r="W157" s="67">
        <f t="shared" si="335"/>
        <v>765.11149999999998</v>
      </c>
      <c r="X157" s="37"/>
      <c r="Y157" s="78"/>
      <c r="Z157" s="7"/>
    </row>
    <row r="158" spans="1:26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/>
      <c r="L158" s="7"/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336">+SUM(C151:C158)+SUM(B159:B162)</f>
        <v>914.32950000000005</v>
      </c>
      <c r="Q158" s="80">
        <f t="shared" si="336"/>
        <v>866.58549999999991</v>
      </c>
      <c r="R158" s="80">
        <f t="shared" si="336"/>
        <v>852.86860000000001</v>
      </c>
      <c r="S158" s="6">
        <f t="shared" si="336"/>
        <v>932.54430000000002</v>
      </c>
      <c r="T158" s="6">
        <f t="shared" si="336"/>
        <v>863.71550000000002</v>
      </c>
      <c r="U158" s="6">
        <f t="shared" si="336"/>
        <v>846.02089999999998</v>
      </c>
      <c r="V158" s="6">
        <f t="shared" si="336"/>
        <v>775.07169999999996</v>
      </c>
      <c r="W158" s="67">
        <f t="shared" si="336"/>
        <v>769.40149999999994</v>
      </c>
      <c r="X158" s="37"/>
      <c r="Y158" s="78"/>
      <c r="Z158" s="7"/>
    </row>
    <row r="159" spans="1:26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/>
      <c r="L159" s="7"/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337">+SUM(C151:C159)+SUM(B160:B162)</f>
        <v>907.47389999999996</v>
      </c>
      <c r="Q159" s="80">
        <f t="shared" si="337"/>
        <v>855.03329999999994</v>
      </c>
      <c r="R159" s="80">
        <f t="shared" si="337"/>
        <v>859.33539999999994</v>
      </c>
      <c r="S159" s="6">
        <f t="shared" si="337"/>
        <v>940.55520000000001</v>
      </c>
      <c r="T159" s="6">
        <f t="shared" si="337"/>
        <v>850.10829999999999</v>
      </c>
      <c r="U159" s="6">
        <f t="shared" si="337"/>
        <v>850.27520000000004</v>
      </c>
      <c r="V159" s="6">
        <f t="shared" si="337"/>
        <v>768.65459999999996</v>
      </c>
      <c r="W159" s="67">
        <f t="shared" si="337"/>
        <v>768.85059999999999</v>
      </c>
      <c r="X159" s="37"/>
      <c r="Y159" s="78"/>
      <c r="Z159" s="7"/>
    </row>
    <row r="160" spans="1:26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338">+SUM(C151:C160)+SUM(B161:B162)</f>
        <v>902.39879999999994</v>
      </c>
      <c r="Q160" s="80">
        <f t="shared" si="338"/>
        <v>847.17489999999998</v>
      </c>
      <c r="R160" s="80">
        <f t="shared" si="338"/>
        <v>871.19799999999987</v>
      </c>
      <c r="S160" s="6">
        <f t="shared" si="338"/>
        <v>942.16830000000004</v>
      </c>
      <c r="T160" s="6">
        <f t="shared" si="338"/>
        <v>835.22040000000004</v>
      </c>
      <c r="U160" s="6">
        <f t="shared" si="338"/>
        <v>857.32049999999992</v>
      </c>
      <c r="V160" s="6">
        <f t="shared" si="338"/>
        <v>769.60519999999997</v>
      </c>
      <c r="W160" s="67">
        <f t="shared" si="338"/>
        <v>761.74768900000004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339">+SUM(C151:C161)+SUM(B162)</f>
        <v>900.3282999999999</v>
      </c>
      <c r="Q161" s="80">
        <f t="shared" si="339"/>
        <v>837.57490000000007</v>
      </c>
      <c r="R161" s="80">
        <f t="shared" si="339"/>
        <v>880.46949999999993</v>
      </c>
      <c r="S161" s="6">
        <f t="shared" si="339"/>
        <v>940.7555000000001</v>
      </c>
      <c r="T161" s="6">
        <f t="shared" si="339"/>
        <v>838.62630000000001</v>
      </c>
      <c r="U161" s="6">
        <f t="shared" si="339"/>
        <v>844.93839999999989</v>
      </c>
      <c r="V161" s="6">
        <f t="shared" si="339"/>
        <v>772.38119999999992</v>
      </c>
      <c r="W161" s="67">
        <f t="shared" si="339"/>
        <v>763.81548899999996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340">+SUM(C151:C162)</f>
        <v>892.50299999999993</v>
      </c>
      <c r="Q162" s="80">
        <f t="shared" si="340"/>
        <v>839.60210000000006</v>
      </c>
      <c r="R162" s="80">
        <f t="shared" si="340"/>
        <v>885.25929999999994</v>
      </c>
      <c r="S162" s="6">
        <f t="shared" si="340"/>
        <v>942.96580000000006</v>
      </c>
      <c r="T162" s="6">
        <f t="shared" si="340"/>
        <v>838.09540000000004</v>
      </c>
      <c r="U162" s="6">
        <f t="shared" si="340"/>
        <v>827.60979999999995</v>
      </c>
      <c r="V162" s="6">
        <f t="shared" ref="V162:W162" si="341">+SUM(I151:I162)</f>
        <v>775.26019999999983</v>
      </c>
      <c r="W162" s="67">
        <f t="shared" si="341"/>
        <v>762.58288900000002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342">SUM(C151:C162)</f>
        <v>892.50299999999993</v>
      </c>
      <c r="D163" s="54">
        <f t="shared" si="342"/>
        <v>839.60210000000006</v>
      </c>
      <c r="E163" s="54">
        <f t="shared" si="342"/>
        <v>885.25929999999994</v>
      </c>
      <c r="F163" s="54">
        <f t="shared" si="342"/>
        <v>942.96580000000006</v>
      </c>
      <c r="G163" s="54">
        <f t="shared" si="342"/>
        <v>838.09540000000004</v>
      </c>
      <c r="H163" s="54">
        <f t="shared" ref="H163:I163" si="343">SUM(H151:H162)</f>
        <v>827.60979999999995</v>
      </c>
      <c r="I163" s="54">
        <f t="shared" si="343"/>
        <v>775.26019999999983</v>
      </c>
      <c r="J163" s="186">
        <f t="shared" ref="J163" si="344">SUM(J151:J162)</f>
        <v>762.58288900000002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345">+AVERAGE(Q151:Q162)</f>
        <v>870.27951666666661</v>
      </c>
      <c r="R163" s="157">
        <f t="shared" si="345"/>
        <v>854.60643333333326</v>
      </c>
      <c r="S163" s="46">
        <f t="shared" si="345"/>
        <v>918.63471666666658</v>
      </c>
      <c r="T163" s="46">
        <f t="shared" si="345"/>
        <v>883.61136666666664</v>
      </c>
      <c r="U163" s="226">
        <f t="shared" si="345"/>
        <v>842.53499166666654</v>
      </c>
      <c r="V163" s="226">
        <f t="shared" ref="V163:X163" si="346">+AVERAGE(V151:V162)</f>
        <v>789.6481</v>
      </c>
      <c r="W163" s="220">
        <f t="shared" ref="W163" si="347">+AVERAGE(W151:W162)</f>
        <v>765.72646391666649</v>
      </c>
      <c r="X163" s="197">
        <f t="shared" si="346"/>
        <v>771.48158899999987</v>
      </c>
      <c r="Y163" s="79">
        <f>+X163/W163-1</f>
        <v>7.5159020283772637E-3</v>
      </c>
      <c r="Z163" s="75">
        <f>+POWER(X163/S163,0.2)-1</f>
        <v>-3.4312649917456417E-2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348">+D163/C163-1</f>
        <v>-5.9272517851480466E-2</v>
      </c>
      <c r="E164" s="62">
        <f t="shared" si="348"/>
        <v>5.4379568607558104E-2</v>
      </c>
      <c r="F164" s="62">
        <f t="shared" si="348"/>
        <v>6.5185985620258569E-2</v>
      </c>
      <c r="G164" s="62">
        <f t="shared" si="348"/>
        <v>-0.1112133653203542</v>
      </c>
      <c r="H164" s="62">
        <f t="shared" si="348"/>
        <v>-1.2511224855786263E-2</v>
      </c>
      <c r="I164" s="62">
        <f t="shared" si="348"/>
        <v>-6.3253963401593505E-2</v>
      </c>
      <c r="J164" s="190">
        <f t="shared" si="348"/>
        <v>-1.6352330482075295E-2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349">+Q163/P163-1</f>
        <v>-4.5955869825326512E-2</v>
      </c>
      <c r="R164" s="62">
        <f t="shared" si="349"/>
        <v>-1.800925223813632E-2</v>
      </c>
      <c r="S164" s="62">
        <f t="shared" si="349"/>
        <v>7.4921368288318968E-2</v>
      </c>
      <c r="T164" s="62">
        <f t="shared" si="349"/>
        <v>-3.8125436982269445E-2</v>
      </c>
      <c r="U164" s="62">
        <f t="shared" si="349"/>
        <v>-4.6486924624970061E-2</v>
      </c>
      <c r="V164" s="50">
        <f t="shared" si="349"/>
        <v>-6.2771151572052819E-2</v>
      </c>
      <c r="W164" s="227">
        <f t="shared" si="349"/>
        <v>-3.029404627622545E-2</v>
      </c>
      <c r="X164" s="227">
        <f t="shared" ref="X164" si="350">+X163/W163-1</f>
        <v>7.5159020283772637E-3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31" t="s">
        <v>17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Z1" s="177" t="s">
        <v>206</v>
      </c>
    </row>
    <row r="2" spans="1:26" ht="15.75" x14ac:dyDescent="0.25">
      <c r="A2" s="331" t="s">
        <v>23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</row>
    <row r="3" spans="1:26" ht="15.75" x14ac:dyDescent="0.25">
      <c r="A3" s="333" t="s">
        <v>19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25" t="s">
        <v>220</v>
      </c>
      <c r="B5" s="326"/>
      <c r="C5" s="326"/>
      <c r="D5" s="326"/>
      <c r="E5" s="326"/>
      <c r="F5" s="326"/>
      <c r="G5" s="326"/>
      <c r="H5" s="326"/>
      <c r="I5" s="326"/>
      <c r="J5" s="326"/>
      <c r="K5" s="327"/>
      <c r="L5" s="2"/>
      <c r="M5" s="325" t="s">
        <v>221</v>
      </c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7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0.1643279624539275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25" t="s">
        <v>259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7"/>
      <c r="L23" s="2"/>
      <c r="M23" s="325" t="s">
        <v>260</v>
      </c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7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3.3604799493298691E-2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25" t="s">
        <v>261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7"/>
      <c r="L41" s="2"/>
      <c r="M41" s="325" t="s">
        <v>262</v>
      </c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7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6.2960702641123032E-3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25" t="s">
        <v>263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7"/>
      <c r="L59" s="2"/>
      <c r="M59" s="325" t="s">
        <v>264</v>
      </c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7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1.3480892331957383E-2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25" t="s">
        <v>265</v>
      </c>
      <c r="B77" s="326"/>
      <c r="C77" s="326"/>
      <c r="D77" s="326"/>
      <c r="E77" s="326"/>
      <c r="F77" s="326"/>
      <c r="G77" s="326"/>
      <c r="H77" s="326"/>
      <c r="I77" s="326"/>
      <c r="J77" s="326"/>
      <c r="K77" s="327"/>
      <c r="L77" s="2"/>
      <c r="M77" s="325" t="s">
        <v>266</v>
      </c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7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5.6556505845139111E-3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25" t="s">
        <v>267</v>
      </c>
      <c r="B95" s="326"/>
      <c r="C95" s="326"/>
      <c r="D95" s="326"/>
      <c r="E95" s="326"/>
      <c r="F95" s="326"/>
      <c r="G95" s="326"/>
      <c r="H95" s="326"/>
      <c r="I95" s="326"/>
      <c r="J95" s="326"/>
      <c r="K95" s="327"/>
      <c r="L95" s="2"/>
      <c r="M95" s="325" t="s">
        <v>268</v>
      </c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7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1.0756325985260388E-2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25" t="s">
        <v>269</v>
      </c>
      <c r="B113" s="326"/>
      <c r="C113" s="326"/>
      <c r="D113" s="326"/>
      <c r="E113" s="326"/>
      <c r="F113" s="326"/>
      <c r="G113" s="326"/>
      <c r="H113" s="326"/>
      <c r="I113" s="326"/>
      <c r="J113" s="326"/>
      <c r="K113" s="327"/>
      <c r="L113" s="2"/>
      <c r="M113" s="325" t="s">
        <v>270</v>
      </c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7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1.573928167507458E-2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25" t="s">
        <v>271</v>
      </c>
      <c r="B131" s="326"/>
      <c r="C131" s="326"/>
      <c r="D131" s="326"/>
      <c r="E131" s="326"/>
      <c r="F131" s="326"/>
      <c r="G131" s="326"/>
      <c r="H131" s="326"/>
      <c r="I131" s="326"/>
      <c r="J131" s="326"/>
      <c r="K131" s="327"/>
      <c r="L131" s="2"/>
      <c r="M131" s="325" t="s">
        <v>272</v>
      </c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7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44.781799999999997</v>
      </c>
      <c r="K137" s="7">
        <f t="shared" si="318"/>
        <v>5.0632684115790028E-3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569.58429999999998</v>
      </c>
      <c r="W137" s="78">
        <f t="shared" si="320"/>
        <v>-2.4739192730271253E-2</v>
      </c>
      <c r="X137" s="7">
        <f t="shared" si="321"/>
        <v>-3.6028359820762579E-2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573.63740000000007</v>
      </c>
      <c r="W138" s="78">
        <f t="shared" si="320"/>
        <v>-1.8206327192901717E-2</v>
      </c>
      <c r="X138" s="7">
        <f t="shared" si="321"/>
        <v>-3.27791319080184E-2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576.16890000000001</v>
      </c>
      <c r="W139" s="78">
        <f t="shared" si="320"/>
        <v>-5.8928442333582298E-3</v>
      </c>
      <c r="X139" s="7">
        <f t="shared" si="321"/>
        <v>-3.2260340988533365E-2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579.2722</v>
      </c>
      <c r="W140" s="78">
        <f t="shared" si="320"/>
        <v>5.1003526261825805E-3</v>
      </c>
      <c r="X140" s="7">
        <f t="shared" si="321"/>
        <v>-3.2344776181772561E-2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578.75469999999996</v>
      </c>
      <c r="W141" s="78">
        <f t="shared" si="320"/>
        <v>1.1862339585061887E-2</v>
      </c>
      <c r="X141" s="7">
        <f t="shared" si="321"/>
        <v>-3.3868796056219841E-2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571.81048899999996</v>
      </c>
      <c r="W142" s="78">
        <f t="shared" si="320"/>
        <v>-4.955140274737424E-3</v>
      </c>
      <c r="X142" s="7">
        <f t="shared" si="321"/>
        <v>-3.8702331497249776E-2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574.95641890000002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0.75036866086889942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-1.4757449340985551E-2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28" t="s">
        <v>241</v>
      </c>
      <c r="B149" s="329"/>
      <c r="C149" s="329"/>
      <c r="D149" s="329"/>
      <c r="E149" s="329"/>
      <c r="F149" s="329"/>
      <c r="G149" s="329"/>
      <c r="H149" s="329"/>
      <c r="I149" s="329"/>
      <c r="J149" s="329"/>
      <c r="K149" s="330"/>
      <c r="L149" s="2"/>
      <c r="M149" s="328" t="s">
        <v>242</v>
      </c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30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66.909099999999995</v>
      </c>
      <c r="K155" s="7">
        <f t="shared" si="363"/>
        <v>6.3984645084550706E-2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765.76340000000005</v>
      </c>
      <c r="W155" s="78">
        <f t="shared" si="365"/>
        <v>-3.8988100728599151E-2</v>
      </c>
      <c r="X155" s="7">
        <f t="shared" si="366"/>
        <v>-2.0325680146470071E-2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760.14370000000008</v>
      </c>
      <c r="W156" s="78">
        <f t="shared" si="365"/>
        <v>-3.8141975799165451E-2</v>
      </c>
      <c r="X156" s="7">
        <f t="shared" si="366"/>
        <v>-2.0623070073001015E-2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765.11149999999998</v>
      </c>
      <c r="W157" s="78">
        <f t="shared" si="365"/>
        <v>-2.1549001102355358E-2</v>
      </c>
      <c r="X157" s="7">
        <f t="shared" si="366"/>
        <v>-2.0189574158565371E-2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769.40149999999994</v>
      </c>
      <c r="W158" s="78">
        <f t="shared" si="365"/>
        <v>-7.3157102755784242E-3</v>
      </c>
      <c r="X158" s="7">
        <f t="shared" si="366"/>
        <v>-2.0387810108734805E-2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768.85059999999999</v>
      </c>
      <c r="W159" s="78">
        <f t="shared" si="365"/>
        <v>2.549909933537986E-4</v>
      </c>
      <c r="X159" s="7">
        <f t="shared" si="366"/>
        <v>-2.2006764354474351E-2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761.74768900000004</v>
      </c>
      <c r="W160" s="78">
        <f t="shared" si="365"/>
        <v>-1.0209794580389953E-2</v>
      </c>
      <c r="X160" s="7">
        <f t="shared" si="366"/>
        <v>-2.6493501091896854E-2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766.23191889999987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-2.9653944712841218E-2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2025-05-29T19:28:49Z</dcterms:modified>
</cp:coreProperties>
</file>