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8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0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1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3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4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15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945E015F-BBC6-4CE2-932F-6EA0DF932997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32" i="12" l="1"/>
  <c r="Z132" i="12" s="1"/>
  <c r="X115" i="12"/>
  <c r="Z115" i="12" s="1"/>
  <c r="X98" i="12"/>
  <c r="Z98" i="12" s="1"/>
  <c r="X81" i="12"/>
  <c r="Z81" i="12" s="1"/>
  <c r="X64" i="12"/>
  <c r="Z64" i="12" s="1"/>
  <c r="X47" i="12"/>
  <c r="Z47" i="12" s="1"/>
  <c r="X30" i="12"/>
  <c r="Z30" i="12" s="1"/>
  <c r="Y13" i="12"/>
  <c r="Z13" i="12"/>
  <c r="X13" i="12"/>
  <c r="L81" i="12"/>
  <c r="L98" i="12"/>
  <c r="L115" i="12"/>
  <c r="L132" i="12"/>
  <c r="K132" i="12"/>
  <c r="K115" i="12"/>
  <c r="K98" i="12"/>
  <c r="K81" i="12"/>
  <c r="K64" i="12"/>
  <c r="L64" i="12" s="1"/>
  <c r="K47" i="12"/>
  <c r="L47" i="12" s="1"/>
  <c r="L30" i="12"/>
  <c r="K30" i="12"/>
  <c r="K13" i="12"/>
  <c r="Y132" i="12" l="1"/>
  <c r="Y115" i="12"/>
  <c r="Y98" i="12"/>
  <c r="Y81" i="12"/>
  <c r="Y64" i="12"/>
  <c r="Y47" i="12"/>
  <c r="Y30" i="12"/>
  <c r="L13" i="12" l="1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K532" i="8"/>
  <c r="L532" i="8" s="1"/>
  <c r="K514" i="8"/>
  <c r="L514" i="8" s="1"/>
  <c r="K496" i="8"/>
  <c r="L496" i="8" s="1"/>
  <c r="K478" i="8"/>
  <c r="L478" i="8" s="1"/>
  <c r="K460" i="8"/>
  <c r="L460" i="8" s="1"/>
  <c r="K442" i="8"/>
  <c r="L442" i="8" s="1"/>
  <c r="K424" i="8"/>
  <c r="L424" i="8" s="1"/>
  <c r="K406" i="8"/>
  <c r="L406" i="8" s="1"/>
  <c r="K388" i="8"/>
  <c r="L388" i="8" s="1"/>
  <c r="K370" i="8"/>
  <c r="L370" i="8" s="1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Z84" i="3"/>
  <c r="X84" i="3"/>
  <c r="Y84" i="3" s="1"/>
  <c r="X66" i="3"/>
  <c r="Z66" i="3" s="1"/>
  <c r="X48" i="3"/>
  <c r="Z48" i="3" s="1"/>
  <c r="X30" i="3"/>
  <c r="Z30" i="3" s="1"/>
  <c r="K156" i="3"/>
  <c r="L156" i="3"/>
  <c r="K138" i="3"/>
  <c r="L138" i="3"/>
  <c r="K120" i="3"/>
  <c r="L120" i="3"/>
  <c r="K102" i="3"/>
  <c r="L102" i="3"/>
  <c r="K84" i="3"/>
  <c r="L84" i="3"/>
  <c r="K66" i="3"/>
  <c r="L66" i="3"/>
  <c r="K48" i="3"/>
  <c r="L48" i="3"/>
  <c r="K30" i="3"/>
  <c r="L30" i="3"/>
  <c r="K12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B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Y156" i="3" l="1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369" i="8"/>
  <c r="K441" i="8"/>
  <c r="K513" i="8"/>
  <c r="K477" i="8"/>
  <c r="K387" i="8"/>
  <c r="K459" i="8"/>
  <c r="K531" i="8"/>
  <c r="K495" i="8"/>
  <c r="K423" i="7"/>
  <c r="K478" i="7"/>
  <c r="K405" i="8"/>
  <c r="K441" i="7"/>
  <c r="K333" i="7"/>
  <c r="K423" i="8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83" i="3"/>
  <c r="K65" i="3"/>
  <c r="K47" i="3"/>
  <c r="K29" i="3"/>
  <c r="K11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368" i="8"/>
  <c r="K440" i="8"/>
  <c r="K512" i="8"/>
  <c r="K135" i="6"/>
  <c r="K332" i="7"/>
  <c r="K404" i="7"/>
  <c r="K476" i="7"/>
  <c r="K350" i="7"/>
  <c r="K368" i="7"/>
  <c r="K440" i="7"/>
  <c r="K386" i="8"/>
  <c r="K458" i="8"/>
  <c r="K530" i="8"/>
  <c r="K117" i="6"/>
  <c r="K386" i="7"/>
  <c r="K458" i="7"/>
  <c r="K404" i="8"/>
  <c r="K476" i="8"/>
  <c r="K29" i="14"/>
  <c r="K422" i="8"/>
  <c r="K494" i="8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82" i="3"/>
  <c r="K64" i="3"/>
  <c r="K46" i="3"/>
  <c r="K28" i="3"/>
  <c r="K10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457" i="8"/>
  <c r="K529" i="8"/>
  <c r="K349" i="7"/>
  <c r="K367" i="7"/>
  <c r="K403" i="7"/>
  <c r="K367" i="8"/>
  <c r="K439" i="8"/>
  <c r="K511" i="8"/>
  <c r="K457" i="7"/>
  <c r="K64" i="14"/>
  <c r="K127" i="14" s="1"/>
  <c r="K439" i="7"/>
  <c r="K385" i="8"/>
  <c r="K421" i="7"/>
  <c r="K331" i="7"/>
  <c r="K475" i="7"/>
  <c r="K403" i="8"/>
  <c r="K475" i="8"/>
  <c r="K10" i="14"/>
  <c r="K81" i="14" s="1"/>
  <c r="K421" i="8"/>
  <c r="K493" i="8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81" i="3"/>
  <c r="K63" i="3"/>
  <c r="P54" i="10" s="1"/>
  <c r="K45" i="3"/>
  <c r="K27" i="3"/>
  <c r="M54" i="10" s="1"/>
  <c r="K9" i="3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474" i="8"/>
  <c r="K420" i="8"/>
  <c r="K151" i="6"/>
  <c r="M155" i="11"/>
  <c r="J24" i="10"/>
  <c r="K492" i="8"/>
  <c r="K402" i="8"/>
  <c r="P38" i="11"/>
  <c r="J127" i="11"/>
  <c r="D155" i="11"/>
  <c r="K27" i="14"/>
  <c r="K366" i="8"/>
  <c r="K438" i="8"/>
  <c r="K510" i="8"/>
  <c r="K45" i="14"/>
  <c r="S53" i="11"/>
  <c r="K133" i="6"/>
  <c r="K384" i="8"/>
  <c r="K456" i="8"/>
  <c r="K528" i="8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K176" i="12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365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K80" i="3"/>
  <c r="J68" i="10" s="1"/>
  <c r="K62" i="3"/>
  <c r="P53" i="10" s="1"/>
  <c r="K44" i="3"/>
  <c r="K26" i="3"/>
  <c r="M53" i="10" s="1"/>
  <c r="K8" i="3"/>
  <c r="J53" i="10" s="1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79" i="3"/>
  <c r="K61" i="3"/>
  <c r="K43" i="3"/>
  <c r="K25" i="3"/>
  <c r="K7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75" i="12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B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18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J176" i="12"/>
  <c r="L129" i="12"/>
  <c r="J192" i="12"/>
  <c r="X114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17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L119" i="3" s="1"/>
  <c r="H119" i="3"/>
  <c r="G119" i="3"/>
  <c r="F119" i="3"/>
  <c r="E119" i="3"/>
  <c r="D119" i="3"/>
  <c r="C119" i="3"/>
  <c r="B119" i="3"/>
  <c r="I118" i="3"/>
  <c r="L118" i="3" s="1"/>
  <c r="H118" i="3"/>
  <c r="G118" i="3"/>
  <c r="F118" i="3"/>
  <c r="E118" i="3"/>
  <c r="D118" i="3"/>
  <c r="C118" i="3"/>
  <c r="B118" i="3"/>
  <c r="I117" i="3"/>
  <c r="L117" i="3" s="1"/>
  <c r="H117" i="3"/>
  <c r="G117" i="3"/>
  <c r="F117" i="3"/>
  <c r="E117" i="3"/>
  <c r="D117" i="3"/>
  <c r="C117" i="3"/>
  <c r="B117" i="3"/>
  <c r="I116" i="3"/>
  <c r="L116" i="3" s="1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L155" i="3" l="1"/>
  <c r="X47" i="3"/>
  <c r="X83" i="3"/>
  <c r="L137" i="3"/>
  <c r="Q71" i="10" s="1"/>
  <c r="X29" i="3"/>
  <c r="X65" i="3"/>
  <c r="X101" i="3"/>
  <c r="L134" i="3"/>
  <c r="Q68" i="10" s="1"/>
  <c r="L154" i="3"/>
  <c r="L47" i="3"/>
  <c r="X46" i="3"/>
  <c r="X82" i="3"/>
  <c r="L83" i="3"/>
  <c r="K71" i="10" s="1"/>
  <c r="X28" i="3"/>
  <c r="L29" i="3"/>
  <c r="N56" i="10" s="1"/>
  <c r="X64" i="3"/>
  <c r="L65" i="3"/>
  <c r="Q56" i="10" s="1"/>
  <c r="X100" i="3"/>
  <c r="L101" i="3"/>
  <c r="N71" i="10" s="1"/>
  <c r="X154" i="3"/>
  <c r="X136" i="3"/>
  <c r="X45" i="3"/>
  <c r="L46" i="3"/>
  <c r="X81" i="3"/>
  <c r="L82" i="3"/>
  <c r="K70" i="10" s="1"/>
  <c r="L136" i="3"/>
  <c r="Q70" i="10" s="1"/>
  <c r="L28" i="3"/>
  <c r="N55" i="10" s="1"/>
  <c r="L64" i="3"/>
  <c r="Q55" i="10" s="1"/>
  <c r="L100" i="3"/>
  <c r="N70" i="10" s="1"/>
  <c r="X135" i="3"/>
  <c r="L152" i="3"/>
  <c r="X27" i="3"/>
  <c r="L44" i="3"/>
  <c r="X63" i="3"/>
  <c r="L80" i="3"/>
  <c r="K68" i="10" s="1"/>
  <c r="X99" i="3"/>
  <c r="X153" i="3"/>
  <c r="X25" i="3"/>
  <c r="L26" i="3"/>
  <c r="N53" i="10" s="1"/>
  <c r="X61" i="3"/>
  <c r="L62" i="3"/>
  <c r="Q53" i="10" s="1"/>
  <c r="X97" i="3"/>
  <c r="L98" i="3"/>
  <c r="N68" i="10" s="1"/>
  <c r="L135" i="3"/>
  <c r="Q69" i="10" s="1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L27" i="3"/>
  <c r="N54" i="10" s="1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L63" i="3"/>
  <c r="Q54" i="10" s="1"/>
  <c r="X62" i="3"/>
  <c r="W88" i="3"/>
  <c r="W84" i="3"/>
  <c r="W80" i="3"/>
  <c r="W87" i="3"/>
  <c r="W83" i="3"/>
  <c r="Y83" i="3" s="1"/>
  <c r="W79" i="3"/>
  <c r="W90" i="3"/>
  <c r="W86" i="3"/>
  <c r="W82" i="3"/>
  <c r="Y82" i="3" s="1"/>
  <c r="W89" i="3"/>
  <c r="W85" i="3"/>
  <c r="W81" i="3"/>
  <c r="Y81" i="3" s="1"/>
  <c r="L99" i="3"/>
  <c r="N69" i="10" s="1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L153" i="3"/>
  <c r="X152" i="3"/>
  <c r="W34" i="3"/>
  <c r="W30" i="3"/>
  <c r="W26" i="3"/>
  <c r="W33" i="3"/>
  <c r="W29" i="3"/>
  <c r="Y29" i="3" s="1"/>
  <c r="W25" i="3"/>
  <c r="W36" i="3"/>
  <c r="W32" i="3"/>
  <c r="W28" i="3"/>
  <c r="Y28" i="3" s="1"/>
  <c r="W35" i="3"/>
  <c r="W31" i="3"/>
  <c r="W27" i="3"/>
  <c r="Y27" i="3" s="1"/>
  <c r="L45" i="3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L81" i="3"/>
  <c r="K69" i="10" s="1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46" i="3" l="1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10" i="3" s="1"/>
  <c r="X145" i="3"/>
  <c r="J92" i="3"/>
  <c r="J146" i="3"/>
  <c r="I18" i="3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J16" i="3"/>
  <c r="I16" i="3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H13" i="3"/>
  <c r="G13" i="3"/>
  <c r="F13" i="3"/>
  <c r="E13" i="3"/>
  <c r="D13" i="3"/>
  <c r="C13" i="3"/>
  <c r="B13" i="3"/>
  <c r="J12" i="3"/>
  <c r="I12" i="3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H9" i="3"/>
  <c r="G9" i="3"/>
  <c r="F9" i="3"/>
  <c r="E9" i="3"/>
  <c r="D9" i="3"/>
  <c r="C9" i="3"/>
  <c r="B9" i="3"/>
  <c r="J8" i="3"/>
  <c r="L8" i="3" s="1"/>
  <c r="K53" i="10" s="1"/>
  <c r="I8" i="3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2" i="3" l="1"/>
  <c r="L12" i="3"/>
  <c r="K57" i="10" s="1"/>
  <c r="X11" i="3"/>
  <c r="L9" i="3"/>
  <c r="K54" i="10" s="1"/>
  <c r="X8" i="3"/>
  <c r="L10" i="3"/>
  <c r="K55" i="10" s="1"/>
  <c r="X9" i="3"/>
  <c r="L11" i="3"/>
  <c r="K56" i="10" s="1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J19" i="3"/>
  <c r="J20" i="3" s="1"/>
  <c r="W18" i="3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19" i="2" l="1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X19" i="3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X20" i="3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L530" i="8" s="1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L531" i="8" s="1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L528" i="8" s="1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L529" i="8" s="1"/>
  <c r="X151" i="6" l="1"/>
  <c r="X403" i="7"/>
  <c r="X492" i="8"/>
  <c r="J128" i="7"/>
  <c r="J38" i="7"/>
  <c r="X288" i="8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307" i="8" s="1"/>
  <c r="X421" i="7"/>
  <c r="X331" i="7"/>
  <c r="X349" i="7"/>
  <c r="X270" i="8"/>
  <c r="X271" i="8" s="1"/>
  <c r="X234" i="8"/>
  <c r="X235" i="8" s="1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343" i="8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467" i="8"/>
  <c r="X509" i="8"/>
  <c r="X198" i="8"/>
  <c r="X199" i="8" s="1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325" i="8" l="1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378" i="7" s="1"/>
  <c r="X217" i="7"/>
  <c r="X359" i="7"/>
  <c r="X360" i="7" s="1"/>
  <c r="X199" i="7"/>
  <c r="X56" i="7"/>
  <c r="X146" i="7"/>
  <c r="X449" i="7"/>
  <c r="X450" i="7" s="1"/>
  <c r="X289" i="7"/>
  <c r="X271" i="7"/>
  <c r="X431" i="7"/>
  <c r="X432" i="7" s="1"/>
  <c r="X467" i="7"/>
  <c r="X468" i="7" s="1"/>
  <c r="X307" i="7"/>
  <c r="X20" i="7"/>
  <c r="X235" i="7"/>
  <c r="X395" i="7"/>
  <c r="X396" i="7" s="1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K120" i="1" l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X55" i="1" s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W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J175" i="12" s="1"/>
  <c r="I109" i="12"/>
  <c r="H109" i="12"/>
  <c r="H175" i="12" s="1"/>
  <c r="G109" i="12"/>
  <c r="F109" i="12"/>
  <c r="F175" i="12" s="1"/>
  <c r="E109" i="12"/>
  <c r="D109" i="12"/>
  <c r="D175" i="12" s="1"/>
  <c r="C109" i="12"/>
  <c r="B109" i="12"/>
  <c r="B175" i="12" s="1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I176" i="12"/>
  <c r="E176" i="12"/>
  <c r="F192" i="12"/>
  <c r="F197" i="12" s="1"/>
  <c r="B192" i="12"/>
  <c r="G161" i="12"/>
  <c r="C161" i="12"/>
  <c r="H176" i="12"/>
  <c r="H181" i="12" s="1"/>
  <c r="D176" i="12"/>
  <c r="I192" i="12"/>
  <c r="E192" i="12"/>
  <c r="F161" i="12"/>
  <c r="F166" i="12" s="1"/>
  <c r="B161" i="12"/>
  <c r="G176" i="12"/>
  <c r="C176" i="12"/>
  <c r="H192" i="12"/>
  <c r="H197" i="12" s="1"/>
  <c r="D192" i="12"/>
  <c r="I161" i="12"/>
  <c r="E161" i="12"/>
  <c r="E166" i="12" s="1"/>
  <c r="F176" i="12"/>
  <c r="F181" i="12" s="1"/>
  <c r="B176" i="12"/>
  <c r="G192" i="12"/>
  <c r="G197" i="12" s="1"/>
  <c r="C192" i="12"/>
  <c r="C197" i="12" s="1"/>
  <c r="I160" i="12"/>
  <c r="J165" i="12" s="1"/>
  <c r="C191" i="12"/>
  <c r="G191" i="12"/>
  <c r="D160" i="12"/>
  <c r="D165" i="12" s="1"/>
  <c r="C175" i="12"/>
  <c r="D180" i="12" s="1"/>
  <c r="G175" i="12"/>
  <c r="B191" i="12"/>
  <c r="F191" i="12"/>
  <c r="B160" i="12"/>
  <c r="E175" i="12"/>
  <c r="I175" i="12"/>
  <c r="I180" i="12" s="1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Y114" i="12" s="1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L25" i="3"/>
  <c r="N52" i="10" s="1"/>
  <c r="L7" i="3"/>
  <c r="K52" i="10" s="1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W19" i="3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Y19" i="3"/>
  <c r="X21" i="3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2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W20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L79" i="3"/>
  <c r="K67" i="10" s="1"/>
  <c r="I109" i="3"/>
  <c r="J111" i="3" s="1"/>
  <c r="L97" i="3"/>
  <c r="N67" i="10" s="1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S465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461" i="8"/>
  <c r="S373" i="8"/>
  <c r="S423" i="8"/>
  <c r="Z423" i="8" s="1"/>
  <c r="Q388" i="8"/>
  <c r="P502" i="8"/>
  <c r="R502" i="8"/>
  <c r="S464" i="8"/>
  <c r="S460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S459" i="8"/>
  <c r="Z459" i="8" s="1"/>
  <c r="R477" i="8"/>
  <c r="O539" i="8"/>
  <c r="R407" i="8"/>
  <c r="Q475" i="8"/>
  <c r="S458" i="8"/>
  <c r="Z458" i="8" s="1"/>
  <c r="Q463" i="8"/>
  <c r="Q376" i="8"/>
  <c r="Q387" i="8"/>
  <c r="C57" i="8"/>
  <c r="T423" i="8"/>
  <c r="T460" i="8"/>
  <c r="Q458" i="8"/>
  <c r="P483" i="8"/>
  <c r="P479" i="8"/>
  <c r="S463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S456" i="8"/>
  <c r="Z456" i="8" s="1"/>
  <c r="Q448" i="8"/>
  <c r="Q444" i="8"/>
  <c r="R445" i="8"/>
  <c r="P388" i="8"/>
  <c r="R430" i="8"/>
  <c r="Q478" i="8"/>
  <c r="Q481" i="8"/>
  <c r="P424" i="8"/>
  <c r="S428" i="8"/>
  <c r="C110" i="8"/>
  <c r="R441" i="8"/>
  <c r="P439" i="8"/>
  <c r="S466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62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S457" i="8"/>
  <c r="Z457" i="8" s="1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S455" i="8"/>
  <c r="Z455" i="8" s="1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P16" i="3"/>
  <c r="P18" i="3"/>
  <c r="B37" i="3"/>
  <c r="F37" i="3"/>
  <c r="S30" i="3"/>
  <c r="S26" i="3"/>
  <c r="Z26" i="3" s="1"/>
  <c r="S36" i="3"/>
  <c r="S34" i="3"/>
  <c r="S32" i="3"/>
  <c r="S27" i="3"/>
  <c r="Z27" i="3" s="1"/>
  <c r="S25" i="3"/>
  <c r="Z25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S19" i="3"/>
  <c r="Z19" i="3" s="1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R21" i="3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L61" i="3"/>
  <c r="Q52" i="10" s="1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20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20" i="3"/>
  <c r="O56" i="3"/>
  <c r="O128" i="3"/>
  <c r="O110" i="3"/>
  <c r="O38" i="3"/>
  <c r="P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Z114" i="12" s="1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<sst xmlns="http://schemas.openxmlformats.org/spreadsheetml/2006/main" count="4340" uniqueCount="311">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</sst>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varietal'!$O$13:$X$13</c:f>
              <c:numCache>
                <c:formatCode>0.0</c:formatCode>
                <c:ptCount val="10"/>
                <c:pt idx="0">
                  <c:v>121.48381000000003</c:v>
                </c:pt>
                <c:pt idx="1">
                  <c:v>125.532106</c:v>
                </c:pt>
                <c:pt idx="2">
                  <c:v>118.2572</c:v>
                </c:pt>
                <c:pt idx="3">
                  <c:v>122.0069</c:v>
                </c:pt>
                <c:pt idx="4">
                  <c:v>136.7901</c:v>
                </c:pt>
                <c:pt idx="5">
                  <c:v>162.58440000000002</c:v>
                </c:pt>
                <c:pt idx="6">
                  <c:v>156.911417</c:v>
                </c:pt>
                <c:pt idx="7">
                  <c:v>131.460579</c:v>
                </c:pt>
                <c:pt idx="8">
                  <c:v>126.18600000000001</c:v>
                </c:pt>
                <c:pt idx="9">
                  <c:v>121.64620000000001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varietal'!$O$31:$X$31</c:f>
              <c:numCache>
                <c:formatCode>0.0</c:formatCode>
                <c:ptCount val="10"/>
                <c:pt idx="0">
                  <c:v>21.263056999999996</c:v>
                </c:pt>
                <c:pt idx="1">
                  <c:v>19.990304000000002</c:v>
                </c:pt>
                <c:pt idx="2">
                  <c:v>17.293199999999999</c:v>
                </c:pt>
                <c:pt idx="3">
                  <c:v>17.627600000000001</c:v>
                </c:pt>
                <c:pt idx="4">
                  <c:v>19.995699999999999</c:v>
                </c:pt>
                <c:pt idx="5">
                  <c:v>24.645499999999998</c:v>
                </c:pt>
                <c:pt idx="6">
                  <c:v>21.824426000000003</c:v>
                </c:pt>
                <c:pt idx="7">
                  <c:v>18.834157000000001</c:v>
                </c:pt>
                <c:pt idx="8">
                  <c:v>15.939200000000001</c:v>
                </c:pt>
                <c:pt idx="9">
                  <c:v>15.541699999999999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varietal'!$O$49:$X$49</c:f>
              <c:numCache>
                <c:formatCode>0.0</c:formatCode>
                <c:ptCount val="10"/>
                <c:pt idx="0">
                  <c:v>2.3986079999999994</c:v>
                </c:pt>
                <c:pt idx="1">
                  <c:v>2.2387779999999999</c:v>
                </c:pt>
                <c:pt idx="2">
                  <c:v>2.0902000000000003</c:v>
                </c:pt>
                <c:pt idx="3">
                  <c:v>12.135300000000001</c:v>
                </c:pt>
                <c:pt idx="4">
                  <c:v>11.398699999999998</c:v>
                </c:pt>
                <c:pt idx="5">
                  <c:v>6.1580999999999992</c:v>
                </c:pt>
                <c:pt idx="6">
                  <c:v>4.2267790000000005</c:v>
                </c:pt>
                <c:pt idx="7">
                  <c:v>2.291512</c:v>
                </c:pt>
                <c:pt idx="8">
                  <c:v>1.6080999999999999</c:v>
                </c:pt>
                <c:pt idx="9">
                  <c:v>1.3439000000000001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varietal'!$O$67:$X$67</c:f>
              <c:numCache>
                <c:formatCode>0.0</c:formatCode>
                <c:ptCount val="10"/>
                <c:pt idx="0">
                  <c:v>4.084284000000002</c:v>
                </c:pt>
                <c:pt idx="1">
                  <c:v>3.985223</c:v>
                </c:pt>
                <c:pt idx="2">
                  <c:v>3.0738330000000005</c:v>
                </c:pt>
                <c:pt idx="3">
                  <c:v>5.6771000000000011</c:v>
                </c:pt>
                <c:pt idx="4">
                  <c:v>7.0601000000000003</c:v>
                </c:pt>
                <c:pt idx="5">
                  <c:v>8.2688999999999986</c:v>
                </c:pt>
                <c:pt idx="6">
                  <c:v>2.745228</c:v>
                </c:pt>
                <c:pt idx="7">
                  <c:v>1.9193929999999999</c:v>
                </c:pt>
                <c:pt idx="8">
                  <c:v>1.4073000000000002</c:v>
                </c:pt>
                <c:pt idx="9">
                  <c:v>1.5535999999999999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varietal'!$O$85:$X$85</c:f>
              <c:numCache>
                <c:formatCode>0.0</c:formatCode>
                <c:ptCount val="10"/>
                <c:pt idx="0">
                  <c:v>3.463795999999999</c:v>
                </c:pt>
                <c:pt idx="1">
                  <c:v>3.6615969999999995</c:v>
                </c:pt>
                <c:pt idx="2">
                  <c:v>3.5990000000000002</c:v>
                </c:pt>
                <c:pt idx="3">
                  <c:v>3.2676999999999996</c:v>
                </c:pt>
                <c:pt idx="4">
                  <c:v>3.4237000000000002</c:v>
                </c:pt>
                <c:pt idx="5">
                  <c:v>3.7654000000000001</c:v>
                </c:pt>
                <c:pt idx="6">
                  <c:v>4.5645885000000002</c:v>
                </c:pt>
                <c:pt idx="7">
                  <c:v>3.652183</c:v>
                </c:pt>
                <c:pt idx="8">
                  <c:v>3.0238000000000005</c:v>
                </c:pt>
                <c:pt idx="9">
                  <c:v>2.5722999999999998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varietal'!$O$103:$X$103</c:f>
              <c:numCache>
                <c:formatCode>0.0</c:formatCode>
                <c:ptCount val="10"/>
                <c:pt idx="0">
                  <c:v>11.227639000000002</c:v>
                </c:pt>
                <c:pt idx="1">
                  <c:v>10.97664</c:v>
                </c:pt>
                <c:pt idx="2">
                  <c:v>9.7968000000000011</c:v>
                </c:pt>
                <c:pt idx="3">
                  <c:v>10.097899999999999</c:v>
                </c:pt>
                <c:pt idx="4">
                  <c:v>16.3645</c:v>
                </c:pt>
                <c:pt idx="5">
                  <c:v>16.3553</c:v>
                </c:pt>
                <c:pt idx="6">
                  <c:v>18.599724999999999</c:v>
                </c:pt>
                <c:pt idx="7">
                  <c:v>10.254358</c:v>
                </c:pt>
                <c:pt idx="8">
                  <c:v>8.8552999999999997</c:v>
                </c:pt>
                <c:pt idx="9">
                  <c:v>9.5390000000000015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varietal'!$O$121:$X$121</c:f>
              <c:numCache>
                <c:formatCode>0.0</c:formatCode>
                <c:ptCount val="10"/>
                <c:pt idx="0">
                  <c:v>6.3832069999999996</c:v>
                </c:pt>
                <c:pt idx="1">
                  <c:v>5.8174150000000004</c:v>
                </c:pt>
                <c:pt idx="2">
                  <c:v>5.9305000000000003</c:v>
                </c:pt>
                <c:pt idx="3">
                  <c:v>5.3326000000000002</c:v>
                </c:pt>
                <c:pt idx="4">
                  <c:v>5.3894000000000002</c:v>
                </c:pt>
                <c:pt idx="5">
                  <c:v>6.0268999999999995</c:v>
                </c:pt>
                <c:pt idx="6">
                  <c:v>6.1646320000000001</c:v>
                </c:pt>
                <c:pt idx="7">
                  <c:v>4.0859839999999998</c:v>
                </c:pt>
                <c:pt idx="8">
                  <c:v>3.9581</c:v>
                </c:pt>
                <c:pt idx="9">
                  <c:v>3.7983000000000002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varietal'!$O$139:$X$139</c:f>
              <c:numCache>
                <c:formatCode>0.0</c:formatCode>
                <c:ptCount val="10"/>
                <c:pt idx="0">
                  <c:v>39.523387000000106</c:v>
                </c:pt>
                <c:pt idx="1">
                  <c:v>36.03990300000001</c:v>
                </c:pt>
                <c:pt idx="2">
                  <c:v>32.411200000000001</c:v>
                </c:pt>
                <c:pt idx="3">
                  <c:v>36.732900000000001</c:v>
                </c:pt>
                <c:pt idx="4">
                  <c:v>43.769999999999996</c:v>
                </c:pt>
                <c:pt idx="5">
                  <c:v>40.739500000000007</c:v>
                </c:pt>
                <c:pt idx="6">
                  <c:v>36.826604499999988</c:v>
                </c:pt>
                <c:pt idx="7">
                  <c:v>24.160234000000003</c:v>
                </c:pt>
                <c:pt idx="8">
                  <c:v>19.084900000000001</c:v>
                </c:pt>
                <c:pt idx="9">
                  <c:v>18.450899999999997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varietal'!$O$157:$X$157</c:f>
              <c:numCache>
                <c:formatCode>0.0</c:formatCode>
                <c:ptCount val="10"/>
                <c:pt idx="0">
                  <c:v>209.82778800000014</c:v>
                </c:pt>
                <c:pt idx="1">
                  <c:v>207.44877600000001</c:v>
                </c:pt>
                <c:pt idx="2">
                  <c:v>192.2388</c:v>
                </c:pt>
                <c:pt idx="3">
                  <c:v>204.96940000000001</c:v>
                </c:pt>
                <c:pt idx="4">
                  <c:v>238.67080000000004</c:v>
                </c:pt>
                <c:pt idx="5">
                  <c:v>268.54399999999998</c:v>
                </c:pt>
                <c:pt idx="6">
                  <c:v>251.86340000000001</c:v>
                </c:pt>
                <c:pt idx="7">
                  <c:v>196.6584</c:v>
                </c:pt>
                <c:pt idx="8">
                  <c:v>180.06270000000001</c:v>
                </c:pt>
                <c:pt idx="9">
                  <c:v>174.44589999999999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varietal'!$O$174:$X$174</c:f>
              <c:numCache>
                <c:formatCode>0.0</c:formatCode>
                <c:ptCount val="10"/>
                <c:pt idx="0">
                  <c:v>450.38319370180005</c:v>
                </c:pt>
                <c:pt idx="1">
                  <c:v>483.17200000000003</c:v>
                </c:pt>
                <c:pt idx="2">
                  <c:v>490.774</c:v>
                </c:pt>
                <c:pt idx="3">
                  <c:v>481.35599999999999</c:v>
                </c:pt>
                <c:pt idx="4">
                  <c:v>460.56399999999996</c:v>
                </c:pt>
                <c:pt idx="5">
                  <c:v>510.37099999999998</c:v>
                </c:pt>
                <c:pt idx="6">
                  <c:v>520.14122999999995</c:v>
                </c:pt>
                <c:pt idx="7">
                  <c:v>435.84123999999997</c:v>
                </c:pt>
                <c:pt idx="8">
                  <c:v>427.94799999999998</c:v>
                </c:pt>
                <c:pt idx="9">
                  <c:v>420.00200000000001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varietal'!$O$192:$X$192</c:f>
              <c:numCache>
                <c:formatCode>0.0</c:formatCode>
                <c:ptCount val="10"/>
                <c:pt idx="0">
                  <c:v>73.282403023600025</c:v>
                </c:pt>
                <c:pt idx="1">
                  <c:v>80.322020000000009</c:v>
                </c:pt>
                <c:pt idx="2">
                  <c:v>72.562000000000012</c:v>
                </c:pt>
                <c:pt idx="3">
                  <c:v>70.456999999999994</c:v>
                </c:pt>
                <c:pt idx="4">
                  <c:v>66.762</c:v>
                </c:pt>
                <c:pt idx="5">
                  <c:v>73.900000000000006</c:v>
                </c:pt>
                <c:pt idx="6">
                  <c:v>79.367539999999991</c:v>
                </c:pt>
                <c:pt idx="7">
                  <c:v>70.941800000000001</c:v>
                </c:pt>
                <c:pt idx="8">
                  <c:v>61.266999999999996</c:v>
                </c:pt>
                <c:pt idx="9">
                  <c:v>62.500999999999998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Julio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varietal'!$O$210:$X$210</c:f>
              <c:numCache>
                <c:formatCode>0.0</c:formatCode>
                <c:ptCount val="10"/>
                <c:pt idx="0">
                  <c:v>7.2544909275000009</c:v>
                </c:pt>
                <c:pt idx="1">
                  <c:v>7.1218500000000002</c:v>
                </c:pt>
                <c:pt idx="2">
                  <c:v>7.16</c:v>
                </c:pt>
                <c:pt idx="3">
                  <c:v>8.3030000000000008</c:v>
                </c:pt>
                <c:pt idx="4">
                  <c:v>7.6290000000000004</c:v>
                </c:pt>
                <c:pt idx="5">
                  <c:v>8.838000000000001</c:v>
                </c:pt>
                <c:pt idx="6">
                  <c:v>8.5314000000000014</c:v>
                </c:pt>
                <c:pt idx="7">
                  <c:v>6.3787400000000005</c:v>
                </c:pt>
                <c:pt idx="8">
                  <c:v>5.0729999999999995</c:v>
                </c:pt>
                <c:pt idx="9">
                  <c:v>4.7270000000000003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varietal'!$O$228:$X$228</c:f>
              <c:numCache>
                <c:formatCode>0.0</c:formatCode>
                <c:ptCount val="10"/>
                <c:pt idx="0">
                  <c:v>10.1044417138</c:v>
                </c:pt>
                <c:pt idx="1">
                  <c:v>8.3430600000000013</c:v>
                </c:pt>
                <c:pt idx="2">
                  <c:v>7.9909999999999997</c:v>
                </c:pt>
                <c:pt idx="3">
                  <c:v>9.173</c:v>
                </c:pt>
                <c:pt idx="4">
                  <c:v>7.7</c:v>
                </c:pt>
                <c:pt idx="5">
                  <c:v>8.6890000000000001</c:v>
                </c:pt>
                <c:pt idx="6">
                  <c:v>6.7631199999999998</c:v>
                </c:pt>
                <c:pt idx="7">
                  <c:v>5.0095200000000002</c:v>
                </c:pt>
                <c:pt idx="8">
                  <c:v>3.9960000000000004</c:v>
                </c:pt>
                <c:pt idx="9">
                  <c:v>4.5659999999999989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varietal'!$O$246:$X$246</c:f>
              <c:numCache>
                <c:formatCode>0.0</c:formatCode>
                <c:ptCount val="10"/>
                <c:pt idx="0">
                  <c:v>9.918365016100001</c:v>
                </c:pt>
                <c:pt idx="1">
                  <c:v>10.75578</c:v>
                </c:pt>
                <c:pt idx="2">
                  <c:v>11.202</c:v>
                </c:pt>
                <c:pt idx="3">
                  <c:v>10.122999999999999</c:v>
                </c:pt>
                <c:pt idx="4">
                  <c:v>8.4589999999999996</c:v>
                </c:pt>
                <c:pt idx="5">
                  <c:v>10.381</c:v>
                </c:pt>
                <c:pt idx="6">
                  <c:v>13.096155</c:v>
                </c:pt>
                <c:pt idx="7">
                  <c:v>11.255870000000002</c:v>
                </c:pt>
                <c:pt idx="8">
                  <c:v>10.022</c:v>
                </c:pt>
                <c:pt idx="9">
                  <c:v>8.8219999999999992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varietal'!$O$264:$X$264</c:f>
              <c:numCache>
                <c:formatCode>0.0</c:formatCode>
                <c:ptCount val="10"/>
                <c:pt idx="0">
                  <c:v>36.338327912600001</c:v>
                </c:pt>
                <c:pt idx="1">
                  <c:v>36.720179999999999</c:v>
                </c:pt>
                <c:pt idx="2">
                  <c:v>34.596000000000004</c:v>
                </c:pt>
                <c:pt idx="3">
                  <c:v>35.900999999999996</c:v>
                </c:pt>
                <c:pt idx="4">
                  <c:v>39.492000000000004</c:v>
                </c:pt>
                <c:pt idx="5">
                  <c:v>45.062000000000005</c:v>
                </c:pt>
                <c:pt idx="6">
                  <c:v>49.12303</c:v>
                </c:pt>
                <c:pt idx="7">
                  <c:v>39.060130000000001</c:v>
                </c:pt>
                <c:pt idx="8">
                  <c:v>37.161999999999999</c:v>
                </c:pt>
                <c:pt idx="9">
                  <c:v>38.120000000000005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varietal'!$O$282:$X$282</c:f>
              <c:numCache>
                <c:formatCode>0.0</c:formatCode>
                <c:ptCount val="10"/>
                <c:pt idx="0">
                  <c:v>15.9487148242</c:v>
                </c:pt>
                <c:pt idx="1">
                  <c:v>14.770320000000002</c:v>
                </c:pt>
                <c:pt idx="2">
                  <c:v>14.015000000000001</c:v>
                </c:pt>
                <c:pt idx="3">
                  <c:v>13.378</c:v>
                </c:pt>
                <c:pt idx="4">
                  <c:v>11.440000000000001</c:v>
                </c:pt>
                <c:pt idx="5">
                  <c:v>12.042999999999999</c:v>
                </c:pt>
                <c:pt idx="6">
                  <c:v>12.641970000000001</c:v>
                </c:pt>
                <c:pt idx="7">
                  <c:v>10.90138</c:v>
                </c:pt>
                <c:pt idx="8">
                  <c:v>10.702999999999999</c:v>
                </c:pt>
                <c:pt idx="9">
                  <c:v>11.66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varietal'!$O$300:$X$300</c:f>
              <c:numCache>
                <c:formatCode>0.0</c:formatCode>
                <c:ptCount val="10"/>
                <c:pt idx="0">
                  <c:v>114.05154416810004</c:v>
                </c:pt>
                <c:pt idx="1">
                  <c:v>109.57979</c:v>
                </c:pt>
                <c:pt idx="2">
                  <c:v>107.303</c:v>
                </c:pt>
                <c:pt idx="3">
                  <c:v>109.625</c:v>
                </c:pt>
                <c:pt idx="4">
                  <c:v>101.511</c:v>
                </c:pt>
                <c:pt idx="5">
                  <c:v>111.80200000000001</c:v>
                </c:pt>
                <c:pt idx="6">
                  <c:v>106.46855500000001</c:v>
                </c:pt>
                <c:pt idx="7">
                  <c:v>91.321320000000014</c:v>
                </c:pt>
                <c:pt idx="8">
                  <c:v>82.944999999999993</c:v>
                </c:pt>
                <c:pt idx="9">
                  <c:v>74.234999999999999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varietal'!$O$318:$X$318</c:f>
              <c:numCache>
                <c:formatCode>0.0</c:formatCode>
                <c:ptCount val="10"/>
                <c:pt idx="0">
                  <c:v>717.2814812877001</c:v>
                </c:pt>
                <c:pt idx="1">
                  <c:v>750.78500000000008</c:v>
                </c:pt>
                <c:pt idx="2">
                  <c:v>745.60300000000007</c:v>
                </c:pt>
                <c:pt idx="3">
                  <c:v>738.31600000000003</c:v>
                </c:pt>
                <c:pt idx="4">
                  <c:v>704.63599999999997</c:v>
                </c:pt>
                <c:pt idx="5">
                  <c:v>781.39200000000005</c:v>
                </c:pt>
                <c:pt idx="6">
                  <c:v>796.13300000000004</c:v>
                </c:pt>
                <c:pt idx="7">
                  <c:v>670.71</c:v>
                </c:pt>
                <c:pt idx="8">
                  <c:v>639.11599999999999</c:v>
                </c:pt>
                <c:pt idx="9">
                  <c:v>624.63300000000004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varietal'!$O$335:$X$335</c:f>
              <c:numCache>
                <c:formatCode>0.00</c:formatCode>
                <c:ptCount val="10"/>
                <c:pt idx="0">
                  <c:v>3.7073515697425026</c:v>
                </c:pt>
                <c:pt idx="1">
                  <c:v>3.8489914285354221</c:v>
                </c:pt>
                <c:pt idx="2">
                  <c:v>4.1500559796781928</c:v>
                </c:pt>
                <c:pt idx="3">
                  <c:v>3.9453178467775181</c:v>
                </c:pt>
                <c:pt idx="4">
                  <c:v>3.3669395665329582</c:v>
                </c:pt>
                <c:pt idx="5">
                  <c:v>3.1391142077591696</c:v>
                </c:pt>
                <c:pt idx="6">
                  <c:v>3.3148717916427963</c:v>
                </c:pt>
                <c:pt idx="7">
                  <c:v>3.3153759348648539</c:v>
                </c:pt>
                <c:pt idx="8">
                  <c:v>3.3914063366776026</c:v>
                </c:pt>
                <c:pt idx="9">
                  <c:v>3.4526520351642715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varietal'!$O$353:$X$353</c:f>
              <c:numCache>
                <c:formatCode>0.00</c:formatCode>
                <c:ptCount val="10"/>
                <c:pt idx="0">
                  <c:v>3.4464660008012977</c:v>
                </c:pt>
                <c:pt idx="1">
                  <c:v>4.0180489501310239</c:v>
                </c:pt>
                <c:pt idx="2">
                  <c:v>4.1959845488400074</c:v>
                </c:pt>
                <c:pt idx="3">
                  <c:v>3.9969706596473706</c:v>
                </c:pt>
                <c:pt idx="4">
                  <c:v>3.3388178458368549</c:v>
                </c:pt>
                <c:pt idx="5">
                  <c:v>2.9985189994116577</c:v>
                </c:pt>
                <c:pt idx="6">
                  <c:v>3.6366381411359905</c:v>
                </c:pt>
                <c:pt idx="7">
                  <c:v>3.7666565060490891</c:v>
                </c:pt>
                <c:pt idx="8">
                  <c:v>3.8437939168841591</c:v>
                </c:pt>
                <c:pt idx="9">
                  <c:v>4.0215034391347153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varietal'!$O$371:$X$371</c:f>
              <c:numCache>
                <c:formatCode>0.00</c:formatCode>
                <c:ptCount val="10"/>
                <c:pt idx="0">
                  <c:v>3.0244587391937334</c:v>
                </c:pt>
                <c:pt idx="1">
                  <c:v>3.1811327429517355</c:v>
                </c:pt>
                <c:pt idx="2">
                  <c:v>3.4255095206200359</c:v>
                </c:pt>
                <c:pt idx="3">
                  <c:v>0.68420228589322063</c:v>
                </c:pt>
                <c:pt idx="4">
                  <c:v>0.66928684850026776</c:v>
                </c:pt>
                <c:pt idx="5">
                  <c:v>1.4351829297997762</c:v>
                </c:pt>
                <c:pt idx="6">
                  <c:v>2.0184163875139913</c:v>
                </c:pt>
                <c:pt idx="7">
                  <c:v>2.7836380520808972</c:v>
                </c:pt>
                <c:pt idx="8">
                  <c:v>3.1546545612835022</c:v>
                </c:pt>
                <c:pt idx="9">
                  <c:v>3.5173748046729667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varietal'!$O$389:$X$389</c:f>
              <c:numCache>
                <c:formatCode>0.00</c:formatCode>
                <c:ptCount val="10"/>
                <c:pt idx="0">
                  <c:v>2.473981171191816</c:v>
                </c:pt>
                <c:pt idx="1">
                  <c:v>2.0934989083421431</c:v>
                </c:pt>
                <c:pt idx="2">
                  <c:v>2.5996857994562483</c:v>
                </c:pt>
                <c:pt idx="3">
                  <c:v>1.6157897518099027</c:v>
                </c:pt>
                <c:pt idx="4">
                  <c:v>1.0906361099701136</c:v>
                </c:pt>
                <c:pt idx="5">
                  <c:v>1.0508048228905902</c:v>
                </c:pt>
                <c:pt idx="6">
                  <c:v>2.4635913665458751</c:v>
                </c:pt>
                <c:pt idx="7">
                  <c:v>2.6099501248571815</c:v>
                </c:pt>
                <c:pt idx="8">
                  <c:v>2.839479855041569</c:v>
                </c:pt>
                <c:pt idx="9">
                  <c:v>2.9389804325437687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varietal'!$O$407:$X$407</c:f>
              <c:numCache>
                <c:formatCode>0.00</c:formatCode>
                <c:ptCount val="10"/>
                <c:pt idx="0">
                  <c:v>2.8634379784779482</c:v>
                </c:pt>
                <c:pt idx="1">
                  <c:v>2.9374559789075643</c:v>
                </c:pt>
                <c:pt idx="2">
                  <c:v>3.1125312586829672</c:v>
                </c:pt>
                <c:pt idx="3">
                  <c:v>3.0978976038192001</c:v>
                </c:pt>
                <c:pt idx="4">
                  <c:v>2.4707188129801092</c:v>
                </c:pt>
                <c:pt idx="5">
                  <c:v>2.7569448133000476</c:v>
                </c:pt>
                <c:pt idx="6">
                  <c:v>2.869076807252176</c:v>
                </c:pt>
                <c:pt idx="7">
                  <c:v>3.0819567365600249</c:v>
                </c:pt>
                <c:pt idx="8">
                  <c:v>3.3143726436933654</c:v>
                </c:pt>
                <c:pt idx="9">
                  <c:v>3.4296155191851652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varietal'!$O$425:$X$425</c:f>
              <c:numCache>
                <c:formatCode>0.00</c:formatCode>
                <c:ptCount val="10"/>
                <c:pt idx="0">
                  <c:v>3.2365066166270573</c:v>
                </c:pt>
                <c:pt idx="1">
                  <c:v>3.3453023876158823</c:v>
                </c:pt>
                <c:pt idx="2">
                  <c:v>3.5313571778539932</c:v>
                </c:pt>
                <c:pt idx="3">
                  <c:v>3.5552936749225084</c:v>
                </c:pt>
                <c:pt idx="4">
                  <c:v>2.4132726328332677</c:v>
                </c:pt>
                <c:pt idx="5">
                  <c:v>2.7551925064046521</c:v>
                </c:pt>
                <c:pt idx="6">
                  <c:v>2.6410621662417051</c:v>
                </c:pt>
                <c:pt idx="7">
                  <c:v>3.8091248618392299</c:v>
                </c:pt>
                <c:pt idx="8">
                  <c:v>4.1965828373968135</c:v>
                </c:pt>
                <c:pt idx="9">
                  <c:v>3.996226019498899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varietal'!$O$443:$X$443</c:f>
              <c:numCache>
                <c:formatCode>0.00</c:formatCode>
                <c:ptCount val="10"/>
                <c:pt idx="0">
                  <c:v>2.4985426329116383</c:v>
                </c:pt>
                <c:pt idx="1">
                  <c:v>2.5389833800751709</c:v>
                </c:pt>
                <c:pt idx="2">
                  <c:v>2.3632071494814939</c:v>
                </c:pt>
                <c:pt idx="3">
                  <c:v>2.5087199489929866</c:v>
                </c:pt>
                <c:pt idx="4">
                  <c:v>2.1226852710876907</c:v>
                </c:pt>
                <c:pt idx="5">
                  <c:v>1.9982080339809853</c:v>
                </c:pt>
                <c:pt idx="6">
                  <c:v>2.0507258178590386</c:v>
                </c:pt>
                <c:pt idx="7">
                  <c:v>2.6679938051641905</c:v>
                </c:pt>
                <c:pt idx="8">
                  <c:v>2.7040751875900053</c:v>
                </c:pt>
                <c:pt idx="9">
                  <c:v>3.0697943816970747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varietal'!$O$461:$X$461</c:f>
              <c:numCache>
                <c:formatCode>0.00</c:formatCode>
                <c:ptCount val="10"/>
                <c:pt idx="0">
                  <c:v>2.8856723278321197</c:v>
                </c:pt>
                <c:pt idx="1">
                  <c:v>3.040512900381557</c:v>
                </c:pt>
                <c:pt idx="2">
                  <c:v>3.3106765562521594</c:v>
                </c:pt>
                <c:pt idx="3">
                  <c:v>2.9843818484247091</c:v>
                </c:pt>
                <c:pt idx="4">
                  <c:v>2.3191912268677179</c:v>
                </c:pt>
                <c:pt idx="5">
                  <c:v>2.7443144859411626</c:v>
                </c:pt>
                <c:pt idx="6">
                  <c:v>2.8910771559186252</c:v>
                </c:pt>
                <c:pt idx="7">
                  <c:v>3.779819351087411</c:v>
                </c:pt>
                <c:pt idx="8">
                  <c:v>4.3461060838673502</c:v>
                </c:pt>
                <c:pt idx="9">
                  <c:v>4.0233809732858568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varietal'!$O$479:$X$479</c:f>
              <c:numCache>
                <c:formatCode>0.00</c:formatCode>
                <c:ptCount val="10"/>
                <c:pt idx="0">
                  <c:v>3.4184294088240574</c:v>
                </c:pt>
                <c:pt idx="1">
                  <c:v>3.6191343929645554</c:v>
                </c:pt>
                <c:pt idx="2">
                  <c:v>3.8785250428113369</c:v>
                </c:pt>
                <c:pt idx="3">
                  <c:v>3.6020791396179139</c:v>
                </c:pt>
                <c:pt idx="4">
                  <c:v>2.9523343450476549</c:v>
                </c:pt>
                <c:pt idx="5">
                  <c:v>2.9097354623450911</c:v>
                </c:pt>
                <c:pt idx="6">
                  <c:v>3.1609713836944948</c:v>
                </c:pt>
                <c:pt idx="7">
                  <c:v>3.4105331885136869</c:v>
                </c:pt>
                <c:pt idx="8">
                  <c:v>3.5494080673010009</c:v>
                </c:pt>
                <c:pt idx="9">
                  <c:v>3.5806688491962269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país'!$O$12:$X$12</c:f>
              <c:numCache>
                <c:formatCode>0.0</c:formatCode>
                <c:ptCount val="10"/>
                <c:pt idx="0">
                  <c:v>75.887165999999993</c:v>
                </c:pt>
                <c:pt idx="1">
                  <c:v>69.696616000000006</c:v>
                </c:pt>
                <c:pt idx="2">
                  <c:v>58.197217999999999</c:v>
                </c:pt>
                <c:pt idx="3">
                  <c:v>67.211247999999998</c:v>
                </c:pt>
                <c:pt idx="4">
                  <c:v>59.871757000000002</c:v>
                </c:pt>
                <c:pt idx="5">
                  <c:v>67.039587999999995</c:v>
                </c:pt>
                <c:pt idx="6">
                  <c:v>73.418959999999998</c:v>
                </c:pt>
                <c:pt idx="7">
                  <c:v>47.480727000000002</c:v>
                </c:pt>
                <c:pt idx="8">
                  <c:v>42.098581000000003</c:v>
                </c:pt>
                <c:pt idx="9">
                  <c:v>46.885452999999998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país'!$O$30:$X$30</c:f>
              <c:numCache>
                <c:formatCode>0.0</c:formatCode>
                <c:ptCount val="10"/>
                <c:pt idx="0">
                  <c:v>29.739629000000001</c:v>
                </c:pt>
                <c:pt idx="1">
                  <c:v>34.256369000000007</c:v>
                </c:pt>
                <c:pt idx="2">
                  <c:v>32.594542000000004</c:v>
                </c:pt>
                <c:pt idx="3">
                  <c:v>39.014240000000001</c:v>
                </c:pt>
                <c:pt idx="4">
                  <c:v>47.639866999999995</c:v>
                </c:pt>
                <c:pt idx="5">
                  <c:v>60.891330999999994</c:v>
                </c:pt>
                <c:pt idx="6">
                  <c:v>56.660569000000002</c:v>
                </c:pt>
                <c:pt idx="7">
                  <c:v>49.030306999999993</c:v>
                </c:pt>
                <c:pt idx="8">
                  <c:v>45.933267000000001</c:v>
                </c:pt>
                <c:pt idx="9">
                  <c:v>51.101563999999996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país'!$O$48:$X$48</c:f>
              <c:numCache>
                <c:formatCode>0.0</c:formatCode>
                <c:ptCount val="10"/>
                <c:pt idx="0">
                  <c:v>21.990210000000001</c:v>
                </c:pt>
                <c:pt idx="1">
                  <c:v>18.011615999999997</c:v>
                </c:pt>
                <c:pt idx="2">
                  <c:v>16.065752</c:v>
                </c:pt>
                <c:pt idx="3">
                  <c:v>33.050393</c:v>
                </c:pt>
                <c:pt idx="4">
                  <c:v>41.929411999999999</c:v>
                </c:pt>
                <c:pt idx="5">
                  <c:v>38.461591999999996</c:v>
                </c:pt>
                <c:pt idx="6">
                  <c:v>17.932943999999999</c:v>
                </c:pt>
                <c:pt idx="7">
                  <c:v>10.205490000000001</c:v>
                </c:pt>
                <c:pt idx="8">
                  <c:v>12.106960999999998</c:v>
                </c:pt>
                <c:pt idx="9">
                  <c:v>12.558899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país'!$O$66:$X$66</c:f>
              <c:numCache>
                <c:formatCode>0.0</c:formatCode>
                <c:ptCount val="10"/>
                <c:pt idx="0">
                  <c:v>12.741818</c:v>
                </c:pt>
                <c:pt idx="1">
                  <c:v>15.910418</c:v>
                </c:pt>
                <c:pt idx="2">
                  <c:v>16.879504000000001</c:v>
                </c:pt>
                <c:pt idx="3">
                  <c:v>15.346774</c:v>
                </c:pt>
                <c:pt idx="4">
                  <c:v>18.005304000000002</c:v>
                </c:pt>
                <c:pt idx="5">
                  <c:v>27.920746000000001</c:v>
                </c:pt>
                <c:pt idx="6">
                  <c:v>28.931497000000004</c:v>
                </c:pt>
                <c:pt idx="7">
                  <c:v>29.139667000000003</c:v>
                </c:pt>
                <c:pt idx="8">
                  <c:v>23.287272000000002</c:v>
                </c:pt>
                <c:pt idx="9">
                  <c:v>27.188310000000001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país'!$O$84:$X$84</c:f>
              <c:numCache>
                <c:formatCode>0.0</c:formatCode>
                <c:ptCount val="10"/>
                <c:pt idx="0">
                  <c:v>11.230950999999999</c:v>
                </c:pt>
                <c:pt idx="1">
                  <c:v>10.287271</c:v>
                </c:pt>
                <c:pt idx="2">
                  <c:v>7.7154389999999999</c:v>
                </c:pt>
                <c:pt idx="3">
                  <c:v>7.2936429999999994</c:v>
                </c:pt>
                <c:pt idx="4">
                  <c:v>7.726216</c:v>
                </c:pt>
                <c:pt idx="5">
                  <c:v>7.7901710000000008</c:v>
                </c:pt>
                <c:pt idx="6">
                  <c:v>6.8763100000000001</c:v>
                </c:pt>
                <c:pt idx="7">
                  <c:v>5.9215699999999991</c:v>
                </c:pt>
                <c:pt idx="8">
                  <c:v>5.5532360000000001</c:v>
                </c:pt>
                <c:pt idx="9">
                  <c:v>5.1371889999999993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país'!$O$102:$X$102</c:f>
              <c:numCache>
                <c:formatCode>0.0</c:formatCode>
                <c:ptCount val="10"/>
                <c:pt idx="0">
                  <c:v>4.9435089999999997</c:v>
                </c:pt>
                <c:pt idx="1">
                  <c:v>5.3951010000000004</c:v>
                </c:pt>
                <c:pt idx="2">
                  <c:v>4.8849610000000006</c:v>
                </c:pt>
                <c:pt idx="3">
                  <c:v>4.7227420000000002</c:v>
                </c:pt>
                <c:pt idx="4">
                  <c:v>32.416344000000002</c:v>
                </c:pt>
                <c:pt idx="5">
                  <c:v>21.419619000000001</c:v>
                </c:pt>
                <c:pt idx="6">
                  <c:v>6.3455310000000003</c:v>
                </c:pt>
                <c:pt idx="7">
                  <c:v>2.6776949999999999</c:v>
                </c:pt>
                <c:pt idx="8">
                  <c:v>1.8769780000000003</c:v>
                </c:pt>
                <c:pt idx="9">
                  <c:v>1.354633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país'!$O$120:$X$120</c:f>
              <c:numCache>
                <c:formatCode>0.0</c:formatCode>
                <c:ptCount val="10"/>
                <c:pt idx="0">
                  <c:v>5.6643520000000001</c:v>
                </c:pt>
                <c:pt idx="1">
                  <c:v>6.7439240000000007</c:v>
                </c:pt>
                <c:pt idx="2">
                  <c:v>4.8849610000000006</c:v>
                </c:pt>
                <c:pt idx="3">
                  <c:v>4.7227420000000002</c:v>
                </c:pt>
                <c:pt idx="4">
                  <c:v>16.229455999999999</c:v>
                </c:pt>
                <c:pt idx="5">
                  <c:v>11.531056</c:v>
                </c:pt>
                <c:pt idx="6">
                  <c:v>8.4016939999999991</c:v>
                </c:pt>
                <c:pt idx="7">
                  <c:v>8.7186070000000004</c:v>
                </c:pt>
                <c:pt idx="8">
                  <c:v>6.4547679999999996</c:v>
                </c:pt>
                <c:pt idx="9">
                  <c:v>6.1663519999999998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país'!$O$138:$X$138</c:f>
              <c:numCache>
                <c:formatCode>0.0</c:formatCode>
                <c:ptCount val="10"/>
                <c:pt idx="0">
                  <c:v>11.380547999999999</c:v>
                </c:pt>
                <c:pt idx="1">
                  <c:v>11.585523999999999</c:v>
                </c:pt>
                <c:pt idx="2">
                  <c:v>11.1037</c:v>
                </c:pt>
                <c:pt idx="3">
                  <c:v>12.014308000000002</c:v>
                </c:pt>
                <c:pt idx="4">
                  <c:v>15.973375999999998</c:v>
                </c:pt>
                <c:pt idx="5">
                  <c:v>13.080456000000002</c:v>
                </c:pt>
                <c:pt idx="6">
                  <c:v>9.6280350000000006</c:v>
                </c:pt>
                <c:pt idx="7">
                  <c:v>6.0244290000000005</c:v>
                </c:pt>
                <c:pt idx="8">
                  <c:v>3.3068249999999999</c:v>
                </c:pt>
                <c:pt idx="9">
                  <c:v>4.2923740000000006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país'!$O$156:$X$156</c:f>
              <c:numCache>
                <c:formatCode>0.0</c:formatCode>
                <c:ptCount val="10"/>
                <c:pt idx="0">
                  <c:v>3.0799240000000001</c:v>
                </c:pt>
                <c:pt idx="1">
                  <c:v>3.313761</c:v>
                </c:pt>
                <c:pt idx="2">
                  <c:v>3.0907330000000002</c:v>
                </c:pt>
                <c:pt idx="3">
                  <c:v>3.0419299999999998</c:v>
                </c:pt>
                <c:pt idx="4">
                  <c:v>2.4788399999999999</c:v>
                </c:pt>
                <c:pt idx="5">
                  <c:v>2.8304879999999999</c:v>
                </c:pt>
                <c:pt idx="6">
                  <c:v>2.401872</c:v>
                </c:pt>
                <c:pt idx="7">
                  <c:v>1.8430830000000002</c:v>
                </c:pt>
                <c:pt idx="8">
                  <c:v>2.2051069999999999</c:v>
                </c:pt>
                <c:pt idx="9">
                  <c:v>2.2036169999999999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Junio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país'!$O$174:$X$174</c:f>
              <c:numCache>
                <c:formatCode>0.0</c:formatCode>
                <c:ptCount val="10"/>
                <c:pt idx="0">
                  <c:v>251.212469</c:v>
                </c:pt>
                <c:pt idx="1">
                  <c:v>242.20727899999997</c:v>
                </c:pt>
                <c:pt idx="2">
                  <c:v>220.21077300000002</c:v>
                </c:pt>
                <c:pt idx="3">
                  <c:v>302.07805800000006</c:v>
                </c:pt>
                <c:pt idx="4">
                  <c:v>376.22332</c:v>
                </c:pt>
                <c:pt idx="5">
                  <c:v>332.23613</c:v>
                </c:pt>
                <c:pt idx="6">
                  <c:v>274.009365</c:v>
                </c:pt>
                <c:pt idx="7">
                  <c:v>207.98465100000001</c:v>
                </c:pt>
                <c:pt idx="8">
                  <c:v>178.03922800000001</c:v>
                </c:pt>
                <c:pt idx="9">
                  <c:v>199.38075700000002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país'!$O$191:$X$191</c:f>
              <c:numCache>
                <c:formatCode>0.0</c:formatCode>
                <c:ptCount val="10"/>
                <c:pt idx="0">
                  <c:v>277.88400000000001</c:v>
                </c:pt>
                <c:pt idx="1">
                  <c:v>270.36800000000005</c:v>
                </c:pt>
                <c:pt idx="2">
                  <c:v>262.39999999999998</c:v>
                </c:pt>
                <c:pt idx="3">
                  <c:v>257.15699999999998</c:v>
                </c:pt>
                <c:pt idx="4">
                  <c:v>230.29500000000002</c:v>
                </c:pt>
                <c:pt idx="5">
                  <c:v>233.52199999999999</c:v>
                </c:pt>
                <c:pt idx="6">
                  <c:v>250.005</c:v>
                </c:pt>
                <c:pt idx="7">
                  <c:v>198.72399999999999</c:v>
                </c:pt>
                <c:pt idx="8">
                  <c:v>178.88399999999999</c:v>
                </c:pt>
                <c:pt idx="9">
                  <c:v>190.85899999999998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país'!$O$209:$X$209</c:f>
              <c:numCache>
                <c:formatCode>0.0</c:formatCode>
                <c:ptCount val="10"/>
                <c:pt idx="0">
                  <c:v>86.031000000000006</c:v>
                </c:pt>
                <c:pt idx="1">
                  <c:v>96.954999999999998</c:v>
                </c:pt>
                <c:pt idx="2">
                  <c:v>99.374000000000009</c:v>
                </c:pt>
                <c:pt idx="3">
                  <c:v>115.26900000000001</c:v>
                </c:pt>
                <c:pt idx="4">
                  <c:v>117.185</c:v>
                </c:pt>
                <c:pt idx="5">
                  <c:v>126.057</c:v>
                </c:pt>
                <c:pt idx="6">
                  <c:v>126.745</c:v>
                </c:pt>
                <c:pt idx="7">
                  <c:v>101.873</c:v>
                </c:pt>
                <c:pt idx="8">
                  <c:v>96.594999999999999</c:v>
                </c:pt>
                <c:pt idx="9">
                  <c:v>106.146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país'!$O$227:$X$227</c:f>
              <c:numCache>
                <c:formatCode>0.0</c:formatCode>
                <c:ptCount val="10"/>
                <c:pt idx="0">
                  <c:v>70.304000000000002</c:v>
                </c:pt>
                <c:pt idx="1">
                  <c:v>65.108000000000004</c:v>
                </c:pt>
                <c:pt idx="2">
                  <c:v>65.88300000000001</c:v>
                </c:pt>
                <c:pt idx="3">
                  <c:v>70.927999999999997</c:v>
                </c:pt>
                <c:pt idx="4">
                  <c:v>68.873999999999995</c:v>
                </c:pt>
                <c:pt idx="5">
                  <c:v>66.605000000000004</c:v>
                </c:pt>
                <c:pt idx="6">
                  <c:v>61.620999999999995</c:v>
                </c:pt>
                <c:pt idx="7">
                  <c:v>43.891000000000005</c:v>
                </c:pt>
                <c:pt idx="8">
                  <c:v>42.947000000000003</c:v>
                </c:pt>
                <c:pt idx="9">
                  <c:v>52.555999999999997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país'!$O$245:$X$245</c:f>
              <c:numCache>
                <c:formatCode>0.0</c:formatCode>
                <c:ptCount val="10"/>
                <c:pt idx="0">
                  <c:v>45.322000000000003</c:v>
                </c:pt>
                <c:pt idx="1">
                  <c:v>50.924999999999997</c:v>
                </c:pt>
                <c:pt idx="2">
                  <c:v>59.101999999999997</c:v>
                </c:pt>
                <c:pt idx="3">
                  <c:v>52.162999999999997</c:v>
                </c:pt>
                <c:pt idx="4">
                  <c:v>56.461999999999996</c:v>
                </c:pt>
                <c:pt idx="5">
                  <c:v>80.748999999999995</c:v>
                </c:pt>
                <c:pt idx="6">
                  <c:v>85.875</c:v>
                </c:pt>
                <c:pt idx="7">
                  <c:v>92.850999999999999</c:v>
                </c:pt>
                <c:pt idx="8">
                  <c:v>89.111999999999995</c:v>
                </c:pt>
                <c:pt idx="9">
                  <c:v>98.08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país'!$O$263:$X$263</c:f>
              <c:numCache>
                <c:formatCode>0.0</c:formatCode>
                <c:ptCount val="10"/>
                <c:pt idx="0">
                  <c:v>33.478999999999999</c:v>
                </c:pt>
                <c:pt idx="1">
                  <c:v>32.261000000000003</c:v>
                </c:pt>
                <c:pt idx="2">
                  <c:v>28.119999999999997</c:v>
                </c:pt>
                <c:pt idx="3">
                  <c:v>26.762</c:v>
                </c:pt>
                <c:pt idx="4">
                  <c:v>27.4</c:v>
                </c:pt>
                <c:pt idx="5">
                  <c:v>29.052999999999997</c:v>
                </c:pt>
                <c:pt idx="6">
                  <c:v>26.423999999999999</c:v>
                </c:pt>
                <c:pt idx="7">
                  <c:v>21.408000000000001</c:v>
                </c:pt>
                <c:pt idx="8">
                  <c:v>21.308999999999997</c:v>
                </c:pt>
                <c:pt idx="9">
                  <c:v>19.931000000000004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país'!$O$281:$X$281</c:f>
              <c:numCache>
                <c:formatCode>0.0</c:formatCode>
                <c:ptCount val="10"/>
                <c:pt idx="0">
                  <c:v>19.814</c:v>
                </c:pt>
                <c:pt idx="1">
                  <c:v>23.005000000000003</c:v>
                </c:pt>
                <c:pt idx="2">
                  <c:v>22.405000000000001</c:v>
                </c:pt>
                <c:pt idx="3">
                  <c:v>24.376000000000001</c:v>
                </c:pt>
                <c:pt idx="4">
                  <c:v>24.638999999999996</c:v>
                </c:pt>
                <c:pt idx="5">
                  <c:v>24.433</c:v>
                </c:pt>
                <c:pt idx="6">
                  <c:v>21.901</c:v>
                </c:pt>
                <c:pt idx="7">
                  <c:v>14.876999999999999</c:v>
                </c:pt>
                <c:pt idx="8">
                  <c:v>11.504000000000001</c:v>
                </c:pt>
                <c:pt idx="9">
                  <c:v>8.1460000000000008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país'!$O$299:$X$299</c:f>
              <c:numCache>
                <c:formatCode>0.0</c:formatCode>
                <c:ptCount val="10"/>
                <c:pt idx="0">
                  <c:v>20.608000000000001</c:v>
                </c:pt>
                <c:pt idx="1">
                  <c:v>22.881999999999998</c:v>
                </c:pt>
                <c:pt idx="2">
                  <c:v>20.004000000000001</c:v>
                </c:pt>
                <c:pt idx="3">
                  <c:v>22.744999999999997</c:v>
                </c:pt>
                <c:pt idx="4">
                  <c:v>18.790000000000003</c:v>
                </c:pt>
                <c:pt idx="5">
                  <c:v>24.402999999999999</c:v>
                </c:pt>
                <c:pt idx="6">
                  <c:v>25.965000000000003</c:v>
                </c:pt>
                <c:pt idx="7">
                  <c:v>29.680000000000003</c:v>
                </c:pt>
                <c:pt idx="8">
                  <c:v>22.298999999999999</c:v>
                </c:pt>
                <c:pt idx="9">
                  <c:v>21.753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país'!$O$317:$X$317</c:f>
              <c:numCache>
                <c:formatCode>0.0</c:formatCode>
                <c:ptCount val="10"/>
                <c:pt idx="0">
                  <c:v>11.864000000000001</c:v>
                </c:pt>
                <c:pt idx="1">
                  <c:v>18.853000000000002</c:v>
                </c:pt>
                <c:pt idx="2">
                  <c:v>19.878</c:v>
                </c:pt>
                <c:pt idx="3">
                  <c:v>15.916</c:v>
                </c:pt>
                <c:pt idx="4">
                  <c:v>13.577000000000002</c:v>
                </c:pt>
                <c:pt idx="5">
                  <c:v>15.263000000000002</c:v>
                </c:pt>
                <c:pt idx="6">
                  <c:v>15.056999999999999</c:v>
                </c:pt>
                <c:pt idx="7">
                  <c:v>13.667999999999999</c:v>
                </c:pt>
                <c:pt idx="8">
                  <c:v>9.2940000000000005</c:v>
                </c:pt>
                <c:pt idx="9">
                  <c:v>12.821000000000002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país'!$O$335:$X$335</c:f>
              <c:numCache>
                <c:formatCode>0.0</c:formatCode>
                <c:ptCount val="10"/>
                <c:pt idx="0">
                  <c:v>14.878</c:v>
                </c:pt>
                <c:pt idx="1">
                  <c:v>15.627000000000001</c:v>
                </c:pt>
                <c:pt idx="2">
                  <c:v>16.066000000000003</c:v>
                </c:pt>
                <c:pt idx="3">
                  <c:v>15.428999999999998</c:v>
                </c:pt>
                <c:pt idx="4">
                  <c:v>11.565</c:v>
                </c:pt>
                <c:pt idx="5">
                  <c:v>14.43</c:v>
                </c:pt>
                <c:pt idx="6">
                  <c:v>12.861000000000001</c:v>
                </c:pt>
                <c:pt idx="7">
                  <c:v>9.85</c:v>
                </c:pt>
                <c:pt idx="8">
                  <c:v>11.065999999999999</c:v>
                </c:pt>
                <c:pt idx="9">
                  <c:v>11.552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Junio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país'!$O$353:$X$353</c:f>
              <c:numCache>
                <c:formatCode>0.0</c:formatCode>
                <c:ptCount val="10"/>
                <c:pt idx="0">
                  <c:v>786.36599999999999</c:v>
                </c:pt>
                <c:pt idx="1">
                  <c:v>811.95699999999999</c:v>
                </c:pt>
                <c:pt idx="2">
                  <c:v>802.69900000000007</c:v>
                </c:pt>
                <c:pt idx="3">
                  <c:v>825.75099999999998</c:v>
                </c:pt>
                <c:pt idx="4">
                  <c:v>773.9</c:v>
                </c:pt>
                <c:pt idx="5">
                  <c:v>815.6869999999999</c:v>
                </c:pt>
                <c:pt idx="6">
                  <c:v>829.81099999999992</c:v>
                </c:pt>
                <c:pt idx="7">
                  <c:v>706.99500000000012</c:v>
                </c:pt>
                <c:pt idx="8">
                  <c:v>631.05199999999991</c:v>
                </c:pt>
                <c:pt idx="9">
                  <c:v>691.42000000000007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país'!$O$370:$X$370</c:f>
              <c:numCache>
                <c:formatCode>0.00</c:formatCode>
                <c:ptCount val="10"/>
                <c:pt idx="0">
                  <c:v>3.6618049486786743</c:v>
                </c:pt>
                <c:pt idx="1">
                  <c:v>3.8792127296395571</c:v>
                </c:pt>
                <c:pt idx="2">
                  <c:v>4.5088065893459026</c:v>
                </c:pt>
                <c:pt idx="3">
                  <c:v>3.8261006550570227</c:v>
                </c:pt>
                <c:pt idx="4">
                  <c:v>3.8464713838279376</c:v>
                </c:pt>
                <c:pt idx="5">
                  <c:v>3.4833447962120534</c:v>
                </c:pt>
                <c:pt idx="6">
                  <c:v>3.4051830753255019</c:v>
                </c:pt>
                <c:pt idx="7">
                  <c:v>4.185361357251332</c:v>
                </c:pt>
                <c:pt idx="8">
                  <c:v>4.2491693484870661</c:v>
                </c:pt>
                <c:pt idx="9">
                  <c:v>4.0707509000712863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país'!$O$388:$X$388</c:f>
              <c:numCache>
                <c:formatCode>0.00</c:formatCode>
                <c:ptCount val="10"/>
                <c:pt idx="0">
                  <c:v>2.892806766352062</c:v>
                </c:pt>
                <c:pt idx="1">
                  <c:v>2.8302766122118777</c:v>
                </c:pt>
                <c:pt idx="2">
                  <c:v>3.048792647554305</c:v>
                </c:pt>
                <c:pt idx="3">
                  <c:v>2.9545365999696522</c:v>
                </c:pt>
                <c:pt idx="4">
                  <c:v>2.4598095540443055</c:v>
                </c:pt>
                <c:pt idx="5">
                  <c:v>2.0701961663475545</c:v>
                </c:pt>
                <c:pt idx="6">
                  <c:v>2.2369171760347131</c:v>
                </c:pt>
                <c:pt idx="7">
                  <c:v>2.0777557032224991</c:v>
                </c:pt>
                <c:pt idx="8">
                  <c:v>2.1029420789947295</c:v>
                </c:pt>
                <c:pt idx="9">
                  <c:v>2.0771575601873948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país'!$O$406:$X$406</c:f>
              <c:numCache>
                <c:formatCode>0.00</c:formatCode>
                <c:ptCount val="10"/>
                <c:pt idx="0">
                  <c:v>3.1970590549158011</c:v>
                </c:pt>
                <c:pt idx="1">
                  <c:v>3.614778374133671</c:v>
                </c:pt>
                <c:pt idx="2">
                  <c:v>4.1008351180822418</c:v>
                </c:pt>
                <c:pt idx="3">
                  <c:v>2.1460561754893503</c:v>
                </c:pt>
                <c:pt idx="4">
                  <c:v>1.6426178359000121</c:v>
                </c:pt>
                <c:pt idx="5">
                  <c:v>1.7317275894351958</c:v>
                </c:pt>
                <c:pt idx="6">
                  <c:v>3.4361898414448846</c:v>
                </c:pt>
                <c:pt idx="7">
                  <c:v>4.3007244140163774</c:v>
                </c:pt>
                <c:pt idx="8">
                  <c:v>3.5472981204779637</c:v>
                </c:pt>
                <c:pt idx="9">
                  <c:v>4.184761737473961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país'!$O$424:$X$424</c:f>
              <c:numCache>
                <c:formatCode>0.00</c:formatCode>
                <c:ptCount val="10"/>
                <c:pt idx="0">
                  <c:v>3.5569492516687964</c:v>
                </c:pt>
                <c:pt idx="1">
                  <c:v>3.2007330039977577</c:v>
                </c:pt>
                <c:pt idx="2">
                  <c:v>3.5014062024571335</c:v>
                </c:pt>
                <c:pt idx="3">
                  <c:v>3.3989553765501466</c:v>
                </c:pt>
                <c:pt idx="4">
                  <c:v>3.135853746207228</c:v>
                </c:pt>
                <c:pt idx="5">
                  <c:v>2.8920788864308995</c:v>
                </c:pt>
                <c:pt idx="6">
                  <c:v>2.9682183400326636</c:v>
                </c:pt>
                <c:pt idx="7">
                  <c:v>3.1864125283243623</c:v>
                </c:pt>
                <c:pt idx="8">
                  <c:v>3.8266397197576421</c:v>
                </c:pt>
                <c:pt idx="9">
                  <c:v>3.6074327532678563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país'!$O$442:$X$442</c:f>
              <c:numCache>
                <c:formatCode>0.00</c:formatCode>
                <c:ptCount val="10"/>
                <c:pt idx="0">
                  <c:v>2.9809586027042592</c:v>
                </c:pt>
                <c:pt idx="1">
                  <c:v>3.1360114844840776</c:v>
                </c:pt>
                <c:pt idx="2">
                  <c:v>3.6446403114586219</c:v>
                </c:pt>
                <c:pt idx="3">
                  <c:v>3.6692226367536773</c:v>
                </c:pt>
                <c:pt idx="4">
                  <c:v>3.5463673291039233</c:v>
                </c:pt>
                <c:pt idx="5">
                  <c:v>3.7294431662668246</c:v>
                </c:pt>
                <c:pt idx="6">
                  <c:v>3.842758688889826</c:v>
                </c:pt>
                <c:pt idx="7">
                  <c:v>3.6152574401721171</c:v>
                </c:pt>
                <c:pt idx="8">
                  <c:v>3.8372221169782801</c:v>
                </c:pt>
                <c:pt idx="9">
                  <c:v>3.8797482436406381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país'!$O$460:$X$460</c:f>
              <c:numCache>
                <c:formatCode>0.00</c:formatCode>
                <c:ptCount val="10"/>
                <c:pt idx="0">
                  <c:v>3.4980170723853319</c:v>
                </c:pt>
                <c:pt idx="1">
                  <c:v>3.4112187503892395</c:v>
                </c:pt>
                <c:pt idx="2">
                  <c:v>4.5865258699097087</c:v>
                </c:pt>
                <c:pt idx="3">
                  <c:v>5.161408351334881</c:v>
                </c:pt>
                <c:pt idx="4">
                  <c:v>1.5181654887261777</c:v>
                </c:pt>
                <c:pt idx="5">
                  <c:v>2.1188865963360164</c:v>
                </c:pt>
                <c:pt idx="6">
                  <c:v>3.4514054064191</c:v>
                </c:pt>
                <c:pt idx="7">
                  <c:v>5.5558978897895388</c:v>
                </c:pt>
                <c:pt idx="8">
                  <c:v>6.1290009792336404</c:v>
                </c:pt>
                <c:pt idx="9">
                  <c:v>6.0134368496854878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país'!$O$478:$X$478</c:f>
              <c:numCache>
                <c:formatCode>0.00</c:formatCode>
                <c:ptCount val="10"/>
                <c:pt idx="0">
                  <c:v>1.8108091104224509</c:v>
                </c:pt>
                <c:pt idx="1">
                  <c:v>1.975050934252089</c:v>
                </c:pt>
                <c:pt idx="2">
                  <c:v>1.8015616416149574</c:v>
                </c:pt>
                <c:pt idx="3">
                  <c:v>1.8931593896211081</c:v>
                </c:pt>
                <c:pt idx="4">
                  <c:v>1.1763324171421248</c:v>
                </c:pt>
                <c:pt idx="5">
                  <c:v>1.8656077433386111</c:v>
                </c:pt>
                <c:pt idx="6">
                  <c:v>3.0904481881868118</c:v>
                </c:pt>
                <c:pt idx="7">
                  <c:v>3.4042135400758404</c:v>
                </c:pt>
                <c:pt idx="8">
                  <c:v>3.4546555352570381</c:v>
                </c:pt>
                <c:pt idx="9">
                  <c:v>3.5276935212261642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país'!$O$496:$X$496</c:f>
              <c:numCache>
                <c:formatCode>0.00</c:formatCode>
                <c:ptCount val="10"/>
                <c:pt idx="0">
                  <c:v>1.042480555417894</c:v>
                </c:pt>
                <c:pt idx="1">
                  <c:v>1.6272893655910603</c:v>
                </c:pt>
                <c:pt idx="2">
                  <c:v>1.7902140727865488</c:v>
                </c:pt>
                <c:pt idx="3">
                  <c:v>1.3247537852367359</c:v>
                </c:pt>
                <c:pt idx="4">
                  <c:v>0.84997686149753204</c:v>
                </c:pt>
                <c:pt idx="5">
                  <c:v>1.1668553451041768</c:v>
                </c:pt>
                <c:pt idx="6">
                  <c:v>1.5638705094030088</c:v>
                </c:pt>
                <c:pt idx="7">
                  <c:v>2.2687627325344857</c:v>
                </c:pt>
                <c:pt idx="8">
                  <c:v>2.8105509060806062</c:v>
                </c:pt>
                <c:pt idx="9">
                  <c:v>2.9869251840589848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país'!$O$514:$X$514</c:f>
              <c:numCache>
                <c:formatCode>0.00</c:formatCode>
                <c:ptCount val="10"/>
                <c:pt idx="0">
                  <c:v>4.8306386780972517</c:v>
                </c:pt>
                <c:pt idx="1">
                  <c:v>4.7157897023955559</c:v>
                </c:pt>
                <c:pt idx="2">
                  <c:v>5.1981196693470455</c:v>
                </c:pt>
                <c:pt idx="3">
                  <c:v>5.0721088256468754</c:v>
                </c:pt>
                <c:pt idx="4">
                  <c:v>4.665488696325701</c:v>
                </c:pt>
                <c:pt idx="5">
                  <c:v>5.098060829086716</c:v>
                </c:pt>
                <c:pt idx="6">
                  <c:v>5.3545734327224768</c:v>
                </c:pt>
                <c:pt idx="7">
                  <c:v>5.3443062520787175</c:v>
                </c:pt>
                <c:pt idx="8">
                  <c:v>5.0183505834410758</c:v>
                </c:pt>
                <c:pt idx="9">
                  <c:v>5.2422902891019625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Junio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país'!$O$532:$X$532</c:f>
              <c:numCache>
                <c:formatCode>0.00</c:formatCode>
                <c:ptCount val="10"/>
                <c:pt idx="0">
                  <c:v>3.1302825179430087</c:v>
                </c:pt>
                <c:pt idx="1">
                  <c:v>3.3523228672248124</c:v>
                </c:pt>
                <c:pt idx="2">
                  <c:v>3.6451395590895999</c:v>
                </c:pt>
                <c:pt idx="3">
                  <c:v>2.7335682884984642</c:v>
                </c:pt>
                <c:pt idx="4">
                  <c:v>2.0570229405237295</c:v>
                </c:pt>
                <c:pt idx="5">
                  <c:v>2.4551423711804006</c:v>
                </c:pt>
                <c:pt idx="6">
                  <c:v>3.0284037919652853</c:v>
                </c:pt>
                <c:pt idx="7">
                  <c:v>3.3992652659738822</c:v>
                </c:pt>
                <c:pt idx="8">
                  <c:v>3.5444548209341815</c:v>
                </c:pt>
                <c:pt idx="9">
                  <c:v>3.4678371694616446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tipo'!$O$12:$X$12</c:f>
              <c:numCache>
                <c:formatCode>0.0</c:formatCode>
                <c:ptCount val="10"/>
                <c:pt idx="0">
                  <c:v>251.05581599999999</c:v>
                </c:pt>
                <c:pt idx="1">
                  <c:v>228.98920699999999</c:v>
                </c:pt>
                <c:pt idx="2">
                  <c:v>219.249</c:v>
                </c:pt>
                <c:pt idx="3">
                  <c:v>301.13660000000004</c:v>
                </c:pt>
                <c:pt idx="4">
                  <c:v>376.19450000000001</c:v>
                </c:pt>
                <c:pt idx="5">
                  <c:v>355.67570000000001</c:v>
                </c:pt>
                <c:pt idx="6">
                  <c:v>305.02179999999998</c:v>
                </c:pt>
                <c:pt idx="7">
                  <c:v>265.04499999999996</c:v>
                </c:pt>
                <c:pt idx="8">
                  <c:v>247.56439999999998</c:v>
                </c:pt>
                <c:pt idx="9">
                  <c:v>258.62860000000001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tipo'!$O$30:$X$30</c:f>
              <c:numCache>
                <c:formatCode>0.0</c:formatCode>
                <c:ptCount val="10"/>
                <c:pt idx="0">
                  <c:v>926.90134</c:v>
                </c:pt>
                <c:pt idx="1">
                  <c:v>880.31489999999997</c:v>
                </c:pt>
                <c:pt idx="2">
                  <c:v>832.65180000000009</c:v>
                </c:pt>
                <c:pt idx="3">
                  <c:v>814.91629999999998</c:v>
                </c:pt>
                <c:pt idx="4">
                  <c:v>884.44540000000006</c:v>
                </c:pt>
                <c:pt idx="5">
                  <c:v>858.49399999999991</c:v>
                </c:pt>
                <c:pt idx="6">
                  <c:v>791.60019999999986</c:v>
                </c:pt>
                <c:pt idx="7">
                  <c:v>699.48170000000005</c:v>
                </c:pt>
                <c:pt idx="8">
                  <c:v>672.18979999999999</c:v>
                </c:pt>
                <c:pt idx="9">
                  <c:v>679.33089999999993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tipo'!$O$48:$X$48</c:f>
              <c:numCache>
                <c:formatCode>0.0</c:formatCode>
                <c:ptCount val="10"/>
                <c:pt idx="0">
                  <c:v>49.338781999999995</c:v>
                </c:pt>
                <c:pt idx="1">
                  <c:v>47.292754000000002</c:v>
                </c:pt>
                <c:pt idx="2">
                  <c:v>39.707900000000002</c:v>
                </c:pt>
                <c:pt idx="3">
                  <c:v>31.639200000000002</c:v>
                </c:pt>
                <c:pt idx="4">
                  <c:v>31.554800000000004</c:v>
                </c:pt>
                <c:pt idx="5">
                  <c:v>33.2639</c:v>
                </c:pt>
                <c:pt idx="6">
                  <c:v>42.322699999999998</c:v>
                </c:pt>
                <c:pt idx="7">
                  <c:v>43.542499999999997</c:v>
                </c:pt>
                <c:pt idx="8">
                  <c:v>36.5077</c:v>
                </c:pt>
                <c:pt idx="9">
                  <c:v>32.922699999999999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tipo'!$O$66:$X$66</c:f>
              <c:numCache>
                <c:formatCode>#,##0.0</c:formatCode>
                <c:ptCount val="10"/>
                <c:pt idx="0">
                  <c:v>1231.100113</c:v>
                </c:pt>
                <c:pt idx="1">
                  <c:v>1160.2741999999998</c:v>
                </c:pt>
                <c:pt idx="2">
                  <c:v>1095.8883999999998</c:v>
                </c:pt>
                <c:pt idx="3">
                  <c:v>1151.5090999999998</c:v>
                </c:pt>
                <c:pt idx="4">
                  <c:v>1295.9731000000002</c:v>
                </c:pt>
                <c:pt idx="5">
                  <c:v>1252.1102000000001</c:v>
                </c:pt>
                <c:pt idx="6">
                  <c:v>1143.6174000000001</c:v>
                </c:pt>
                <c:pt idx="7">
                  <c:v>1012.5165</c:v>
                </c:pt>
                <c:pt idx="8" formatCode="0.0">
                  <c:v>959.61020000000008</c:v>
                </c:pt>
                <c:pt idx="9" formatCode="0.0">
                  <c:v>975.524089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Traslado'!$O$13:$X$13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84575.739892760874</c:v>
                </c:pt>
                <c:pt idx="2">
                  <c:v>71776.654045888659</c:v>
                </c:pt>
                <c:pt idx="3">
                  <c:v>38386.514523768325</c:v>
                </c:pt>
                <c:pt idx="4">
                  <c:v>26890.336218668686</c:v>
                </c:pt>
                <c:pt idx="5">
                  <c:v>49243.918543294159</c:v>
                </c:pt>
                <c:pt idx="6">
                  <c:v>61688.547290902759</c:v>
                </c:pt>
                <c:pt idx="7">
                  <c:v>69641.772041166842</c:v>
                </c:pt>
                <c:pt idx="8">
                  <c:v>55025.713863815618</c:v>
                </c:pt>
                <c:pt idx="9">
                  <c:v>39019.157386022496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Traslado'!$O$30:$X$30</c:f>
              <c:numCache>
                <c:formatCode>#,##0</c:formatCode>
                <c:ptCount val="10"/>
                <c:pt idx="0">
                  <c:v>31421.300240135653</c:v>
                </c:pt>
                <c:pt idx="1">
                  <c:v>46936.966560221677</c:v>
                </c:pt>
                <c:pt idx="2">
                  <c:v>43865.411528000121</c:v>
                </c:pt>
                <c:pt idx="3">
                  <c:v>30709.246911376908</c:v>
                </c:pt>
                <c:pt idx="4">
                  <c:v>22392.507948531624</c:v>
                </c:pt>
                <c:pt idx="5">
                  <c:v>42431.543390917672</c:v>
                </c:pt>
                <c:pt idx="6">
                  <c:v>48969.728247050567</c:v>
                </c:pt>
                <c:pt idx="7">
                  <c:v>65256.980246131156</c:v>
                </c:pt>
                <c:pt idx="8">
                  <c:v>43756.96238523486</c:v>
                </c:pt>
                <c:pt idx="9">
                  <c:v>32176.64917639854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Julio</a:t>
            </a:r>
            <a:endParaRPr lang="es-AR"/>
          </a:p>
          <a:p>
            <a:pPr>
              <a:defRPr/>
            </a:pP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Traslado'!$O$47:$X$47</c:f>
              <c:numCache>
                <c:formatCode>#,##0</c:formatCode>
                <c:ptCount val="10"/>
                <c:pt idx="0">
                  <c:v>24722.674779376262</c:v>
                </c:pt>
                <c:pt idx="1">
                  <c:v>39345.836445603847</c:v>
                </c:pt>
                <c:pt idx="2">
                  <c:v>44396.855294798537</c:v>
                </c:pt>
                <c:pt idx="3">
                  <c:v>28651.147292918176</c:v>
                </c:pt>
                <c:pt idx="4">
                  <c:v>23441.444473413623</c:v>
                </c:pt>
                <c:pt idx="5">
                  <c:v>45759.576378380378</c:v>
                </c:pt>
                <c:pt idx="6">
                  <c:v>51436.959305336415</c:v>
                </c:pt>
                <c:pt idx="7">
                  <c:v>52530.156959968161</c:v>
                </c:pt>
                <c:pt idx="8">
                  <c:v>36486.1780502482</c:v>
                </c:pt>
                <c:pt idx="9">
                  <c:v>28152.194341863196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0.75186828882508894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0.24813171117491103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Promedio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Traslado'!$O$64:$X$64</c:f>
              <c:numCache>
                <c:formatCode>#,##0</c:formatCode>
                <c:ptCount val="10"/>
                <c:pt idx="0">
                  <c:v>38654.768800213489</c:v>
                </c:pt>
                <c:pt idx="1">
                  <c:v>62913.088390217395</c:v>
                </c:pt>
                <c:pt idx="2">
                  <c:v>60351.468085855791</c:v>
                </c:pt>
                <c:pt idx="3">
                  <c:v>33331.262665055932</c:v>
                </c:pt>
                <c:pt idx="4">
                  <c:v>25459.959593747695</c:v>
                </c:pt>
                <c:pt idx="5">
                  <c:v>48473.271629444353</c:v>
                </c:pt>
                <c:pt idx="6">
                  <c:v>58065.593459994561</c:v>
                </c:pt>
                <c:pt idx="7">
                  <c:v>61775.416634801775</c:v>
                </c:pt>
                <c:pt idx="8">
                  <c:v>48153.353034025524</c:v>
                </c:pt>
                <c:pt idx="9">
                  <c:v>35845.733162288387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Traslado'!$O$81:$X$81</c:f>
              <c:numCache>
                <c:formatCode>#,##0</c:formatCode>
                <c:ptCount val="10"/>
                <c:pt idx="0">
                  <c:v>48860.539854476032</c:v>
                </c:pt>
                <c:pt idx="1">
                  <c:v>92014.228637552311</c:v>
                </c:pt>
                <c:pt idx="2">
                  <c:v>81651.725958297204</c:v>
                </c:pt>
                <c:pt idx="3">
                  <c:v>44504.405578691127</c:v>
                </c:pt>
                <c:pt idx="4">
                  <c:v>33690.61780973334</c:v>
                </c:pt>
                <c:pt idx="5">
                  <c:v>55757.097575874628</c:v>
                </c:pt>
                <c:pt idx="6">
                  <c:v>69455.147162457302</c:v>
                </c:pt>
                <c:pt idx="7">
                  <c:v>89317.819183328698</c:v>
                </c:pt>
                <c:pt idx="8">
                  <c:v>72367.41724207002</c:v>
                </c:pt>
                <c:pt idx="9">
                  <c:v>50012.395096028224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Traslado'!$O$98:$X$98</c:f>
              <c:numCache>
                <c:formatCode>#,##0</c:formatCode>
                <c:ptCount val="10"/>
                <c:pt idx="0">
                  <c:v>31649.334969670326</c:v>
                </c:pt>
                <c:pt idx="1">
                  <c:v>46845.554381905975</c:v>
                </c:pt>
                <c:pt idx="2">
                  <c:v>54310.359305803802</c:v>
                </c:pt>
                <c:pt idx="3">
                  <c:v>31112.241583720373</c:v>
                </c:pt>
                <c:pt idx="4">
                  <c:v>27288.15858291171</c:v>
                </c:pt>
                <c:pt idx="5">
                  <c:v>47920.190036436885</c:v>
                </c:pt>
                <c:pt idx="6">
                  <c:v>63548.865973447304</c:v>
                </c:pt>
                <c:pt idx="7">
                  <c:v>67565.205996044795</c:v>
                </c:pt>
                <c:pt idx="8">
                  <c:v>54604.875970184359</c:v>
                </c:pt>
                <c:pt idx="9">
                  <c:v>36584.542457665862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Traslado'!$O$115:$X$115</c:f>
              <c:numCache>
                <c:formatCode>#,##0</c:formatCode>
                <c:ptCount val="10"/>
                <c:pt idx="0">
                  <c:v>28441.546754068975</c:v>
                </c:pt>
                <c:pt idx="1">
                  <c:v>43091.510190586348</c:v>
                </c:pt>
                <c:pt idx="2">
                  <c:v>50044.160567128907</c:v>
                </c:pt>
                <c:pt idx="3">
                  <c:v>31474.712104157061</c:v>
                </c:pt>
                <c:pt idx="4">
                  <c:v>29012.635978933817</c:v>
                </c:pt>
                <c:pt idx="5">
                  <c:v>51674.052923537929</c:v>
                </c:pt>
                <c:pt idx="6">
                  <c:v>58266.043648948871</c:v>
                </c:pt>
                <c:pt idx="7">
                  <c:v>59863.098875605763</c:v>
                </c:pt>
                <c:pt idx="8">
                  <c:v>46695.952495223311</c:v>
                </c:pt>
                <c:pt idx="9">
                  <c:v>32978.547131694701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Julio</a:t>
            </a:r>
          </a:p>
          <a:p>
            <a:pPr>
              <a:defRPr/>
            </a:pPr>
            <a:r>
              <a:rPr lang="es-AR"/>
              <a:t>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Traslado'!$O$132:$X$132</c:f>
              <c:numCache>
                <c:formatCode>#,##0</c:formatCode>
                <c:ptCount val="10"/>
                <c:pt idx="0">
                  <c:v>41803.324220114293</c:v>
                </c:pt>
                <c:pt idx="1">
                  <c:v>71091.888087587533</c:v>
                </c:pt>
                <c:pt idx="2">
                  <c:v>69839.437863052939</c:v>
                </c:pt>
                <c:pt idx="3">
                  <c:v>39510.354848085663</c:v>
                </c:pt>
                <c:pt idx="4">
                  <c:v>31916.06513101143</c:v>
                </c:pt>
                <c:pt idx="5">
                  <c:v>54067.463155260855</c:v>
                </c:pt>
                <c:pt idx="6">
                  <c:v>64973.865070154454</c:v>
                </c:pt>
                <c:pt idx="7">
                  <c:v>75998.766689206328</c:v>
                </c:pt>
                <c:pt idx="8">
                  <c:v>60285.851565107056</c:v>
                </c:pt>
                <c:pt idx="9">
                  <c:v>44269.5024734978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0.29840797236868866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0.66103396986124863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3.6148857232192341E-2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0.9289303685727921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7.1069631427207861E-2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0.61534264351327495</c:v>
                </c:pt>
                <c:pt idx="1">
                  <c:v>9.0634275472773806E-2</c:v>
                </c:pt>
                <c:pt idx="2">
                  <c:v>-0.42049590617454147</c:v>
                </c:pt>
                <c:pt idx="3">
                  <c:v>8.0723165080624382E-2</c:v>
                </c:pt>
                <c:pt idx="4">
                  <c:v>1.0360155860082307</c:v>
                </c:pt>
                <c:pt idx="5">
                  <c:v>-4.3630258507817321E-2</c:v>
                </c:pt>
                <c:pt idx="6">
                  <c:v>0.15822357672647036</c:v>
                </c:pt>
                <c:pt idx="7">
                  <c:v>-0.40154157414222036</c:v>
                </c:pt>
                <c:pt idx="8">
                  <c:v>-0.2565914412633592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43431.317195687479</c:v>
                </c:pt>
                <c:pt idx="1">
                  <c:v>47367.683162546833</c:v>
                </c:pt>
                <c:pt idx="2">
                  <c:v>27449.76630772313</c:v>
                </c:pt>
                <c:pt idx="3">
                  <c:v>29665.598324806026</c:v>
                </c:pt>
                <c:pt idx="4">
                  <c:v>60399.620557564725</c:v>
                </c:pt>
                <c:pt idx="5">
                  <c:v>57764.3694988641</c:v>
                </c:pt>
                <c:pt idx="6">
                  <c:v>66904.054648323814</c:v>
                </c:pt>
                <c:pt idx="7">
                  <c:v>40039.295228338735</c:v>
                </c:pt>
                <c:pt idx="8">
                  <c:v>29765.554758530157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0.69842376748885637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8.9443382476795646E-2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5.3741256820924822E-2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0.6662272834399704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9.8979289285891572E-2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6.0948155462506197E-2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0.23272366579409712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0.25845735850034879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6.6274305111538021E-2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0.13598535796964692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2.7383979115456415E-2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7.2993048172026341E-3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0.28076673956498938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0.15334962652461037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7.3756799641236465E-2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0.14605587761698369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2.9501300077206621E-2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1.2358689122679211E-2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2.8741116800112206E-2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0.63911177808566355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0.32758834141904769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tipo'!$O$12:$X$12</c:f>
              <c:numCache>
                <c:formatCode>0.0</c:formatCode>
                <c:ptCount val="10"/>
                <c:pt idx="0">
                  <c:v>215.21094600000001</c:v>
                </c:pt>
                <c:pt idx="1">
                  <c:v>197.97641300000001</c:v>
                </c:pt>
                <c:pt idx="2">
                  <c:v>190.33969999999999</c:v>
                </c:pt>
                <c:pt idx="3">
                  <c:v>200.3261</c:v>
                </c:pt>
                <c:pt idx="4">
                  <c:v>226.203</c:v>
                </c:pt>
                <c:pt idx="5">
                  <c:v>265.40269999999998</c:v>
                </c:pt>
                <c:pt idx="6">
                  <c:v>258.17650000000003</c:v>
                </c:pt>
                <c:pt idx="7">
                  <c:v>244.1241</c:v>
                </c:pt>
                <c:pt idx="8">
                  <c:v>227.62880000000001</c:v>
                </c:pt>
                <c:pt idx="9">
                  <c:v>236.20890000000003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tipo'!$O$30:$X$30</c:f>
              <c:numCache>
                <c:formatCode>0.0</c:formatCode>
                <c:ptCount val="10"/>
                <c:pt idx="0">
                  <c:v>715.838528</c:v>
                </c:pt>
                <c:pt idx="1">
                  <c:v>673.95370000000003</c:v>
                </c:pt>
                <c:pt idx="2">
                  <c:v>645.13059999999996</c:v>
                </c:pt>
                <c:pt idx="3">
                  <c:v>611.29750000000001</c:v>
                </c:pt>
                <c:pt idx="4">
                  <c:v>655.23649999999998</c:v>
                </c:pt>
                <c:pt idx="5">
                  <c:v>590.06280000000004</c:v>
                </c:pt>
                <c:pt idx="6">
                  <c:v>540.63710000000003</c:v>
                </c:pt>
                <c:pt idx="7">
                  <c:v>503.74910000000006</c:v>
                </c:pt>
                <c:pt idx="8">
                  <c:v>497.65920000000006</c:v>
                </c:pt>
                <c:pt idx="9">
                  <c:v>499.92730000000006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tipo'!$O$48:$X$48</c:f>
              <c:numCache>
                <c:formatCode>0.0</c:formatCode>
                <c:ptCount val="10"/>
                <c:pt idx="0">
                  <c:v>46.036068999999998</c:v>
                </c:pt>
                <c:pt idx="1">
                  <c:v>43.851424000000002</c:v>
                </c:pt>
                <c:pt idx="2">
                  <c:v>36.374499999999998</c:v>
                </c:pt>
                <c:pt idx="3">
                  <c:v>28.357099999999999</c:v>
                </c:pt>
                <c:pt idx="4">
                  <c:v>28.409499999999998</c:v>
                </c:pt>
                <c:pt idx="5">
                  <c:v>30.0321</c:v>
                </c:pt>
                <c:pt idx="6">
                  <c:v>37.142700000000005</c:v>
                </c:pt>
                <c:pt idx="7">
                  <c:v>37.997</c:v>
                </c:pt>
                <c:pt idx="8">
                  <c:v>31.8262</c:v>
                </c:pt>
                <c:pt idx="9">
                  <c:v>27.849899999999998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tipo'!$O$66:$X$66</c:f>
              <c:numCache>
                <c:formatCode>#,##0.0</c:formatCode>
                <c:ptCount val="10"/>
                <c:pt idx="0">
                  <c:v>980.76753200000007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>
                  <c:v>913.60750000000007</c:v>
                </c:pt>
                <c:pt idx="5">
                  <c:v>890.14640000000009</c:v>
                </c:pt>
                <c:pt idx="6">
                  <c:v>840.57370000000003</c:v>
                </c:pt>
                <c:pt idx="7">
                  <c:v>790.28679999999997</c:v>
                </c:pt>
                <c:pt idx="8">
                  <c:v>760.19659999999999</c:v>
                </c:pt>
                <c:pt idx="9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0.30839600154381008</c:v>
                </c:pt>
                <c:pt idx="8">
                  <c:v>0.29581797056608811</c:v>
                </c:pt>
                <c:pt idx="9">
                  <c:v>0.29822509237753309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4.7402034692373217E-2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envase'!$O$12:$X$12</c:f>
              <c:numCache>
                <c:formatCode>0.0</c:formatCode>
                <c:ptCount val="10"/>
                <c:pt idx="0">
                  <c:v>36.88281111111111</c:v>
                </c:pt>
                <c:pt idx="1">
                  <c:v>37.741100000000003</c:v>
                </c:pt>
                <c:pt idx="2">
                  <c:v>34.496299999999998</c:v>
                </c:pt>
                <c:pt idx="3">
                  <c:v>32.641099999999994</c:v>
                </c:pt>
                <c:pt idx="4">
                  <c:v>32.526899999999998</c:v>
                </c:pt>
                <c:pt idx="5">
                  <c:v>34.0139</c:v>
                </c:pt>
                <c:pt idx="6">
                  <c:v>30.796499999999998</c:v>
                </c:pt>
                <c:pt idx="7">
                  <c:v>30.03</c:v>
                </c:pt>
                <c:pt idx="8">
                  <c:v>22.8292</c:v>
                </c:pt>
                <c:pt idx="9">
                  <c:v>21.296999999999997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envase'!$O$30:$X$30</c:f>
              <c:numCache>
                <c:formatCode>0.0</c:formatCode>
                <c:ptCount val="10"/>
                <c:pt idx="0">
                  <c:v>574.59836666666672</c:v>
                </c:pt>
                <c:pt idx="1">
                  <c:v>498.35329999999999</c:v>
                </c:pt>
                <c:pt idx="2">
                  <c:v>485.44639999999998</c:v>
                </c:pt>
                <c:pt idx="3">
                  <c:v>470.36839999999995</c:v>
                </c:pt>
                <c:pt idx="4">
                  <c:v>532.83370000000002</c:v>
                </c:pt>
                <c:pt idx="5">
                  <c:v>545.52230000000009</c:v>
                </c:pt>
                <c:pt idx="6">
                  <c:v>509.57629999999995</c:v>
                </c:pt>
                <c:pt idx="7">
                  <c:v>490.96979999999996</c:v>
                </c:pt>
                <c:pt idx="8">
                  <c:v>472.29310000000004</c:v>
                </c:pt>
                <c:pt idx="9">
                  <c:v>500.33669999999995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envase'!$O$48:$X$48</c:f>
              <c:numCache>
                <c:formatCode>0.0</c:formatCode>
                <c:ptCount val="10"/>
                <c:pt idx="0">
                  <c:v>455.6349444444445</c:v>
                </c:pt>
                <c:pt idx="1">
                  <c:v>381.14921300000003</c:v>
                </c:pt>
                <c:pt idx="2">
                  <c:v>355.0498</c:v>
                </c:pt>
                <c:pt idx="3">
                  <c:v>340.18439999999998</c:v>
                </c:pt>
                <c:pt idx="4">
                  <c:v>346.4375</c:v>
                </c:pt>
                <c:pt idx="5">
                  <c:v>306.17959999999999</c:v>
                </c:pt>
                <c:pt idx="6">
                  <c:v>295.24200000000002</c:v>
                </c:pt>
                <c:pt idx="7">
                  <c:v>264.1225</c:v>
                </c:pt>
                <c:pt idx="8">
                  <c:v>261.44889999999998</c:v>
                </c:pt>
                <c:pt idx="9">
                  <c:v>243.68799999999999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0.48402848601900811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0.25167650798037539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envase'!$O$66:$X$66</c:f>
              <c:numCache>
                <c:formatCode>0.0</c:formatCode>
                <c:ptCount val="10"/>
                <c:pt idx="0">
                  <c:v>1.5656111111110107</c:v>
                </c:pt>
                <c:pt idx="1">
                  <c:v>2.0683869999999724</c:v>
                </c:pt>
                <c:pt idx="2">
                  <c:v>1.1006999999999656</c:v>
                </c:pt>
                <c:pt idx="3">
                  <c:v>2.4804000000000039</c:v>
                </c:pt>
                <c:pt idx="4">
                  <c:v>1.8094000000000081</c:v>
                </c:pt>
                <c:pt idx="5">
                  <c:v>4.4306000000000045</c:v>
                </c:pt>
                <c:pt idx="6">
                  <c:v>4.9589000000000016</c:v>
                </c:pt>
                <c:pt idx="7">
                  <c:v>5.1644999999999985</c:v>
                </c:pt>
                <c:pt idx="8">
                  <c:v>3.6221999999999963</c:v>
                </c:pt>
                <c:pt idx="9">
                  <c:v>3.2801890000000231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envase'!$O$84:$X$84</c:f>
              <c:numCache>
                <c:formatCode>#,##0.0</c:formatCode>
                <c:ptCount val="10"/>
                <c:pt idx="0">
                  <c:v>1068.6817333333333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>
                  <c:v>913.60750000000007</c:v>
                </c:pt>
                <c:pt idx="5">
                  <c:v>890.14640000000009</c:v>
                </c:pt>
                <c:pt idx="6">
                  <c:v>840.57370000000003</c:v>
                </c:pt>
                <c:pt idx="7">
                  <c:v>790.28679999999997</c:v>
                </c:pt>
                <c:pt idx="8" formatCode="0.0">
                  <c:v>760.1934</c:v>
                </c:pt>
                <c:pt idx="9" formatCode="0.0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color'!$O$12:$X$12</c:f>
              <c:numCache>
                <c:formatCode>0.0</c:formatCode>
                <c:ptCount val="10"/>
                <c:pt idx="0">
                  <c:v>179.29362900000001</c:v>
                </c:pt>
                <c:pt idx="1">
                  <c:v>197.97641300000001</c:v>
                </c:pt>
                <c:pt idx="2">
                  <c:v>190.33969999999999</c:v>
                </c:pt>
                <c:pt idx="3">
                  <c:v>200.3261</c:v>
                </c:pt>
                <c:pt idx="4">
                  <c:v>226.203</c:v>
                </c:pt>
                <c:pt idx="5">
                  <c:v>265.40269999999998</c:v>
                </c:pt>
                <c:pt idx="6">
                  <c:v>258.17650000000003</c:v>
                </c:pt>
                <c:pt idx="7">
                  <c:v>244.1241</c:v>
                </c:pt>
                <c:pt idx="8">
                  <c:v>227.53119999999998</c:v>
                </c:pt>
                <c:pt idx="9">
                  <c:v>236.10820000000001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color'!$O$30:$X$30</c:f>
              <c:numCache>
                <c:formatCode>0.0</c:formatCode>
                <c:ptCount val="10"/>
                <c:pt idx="0">
                  <c:v>31.804120999999995</c:v>
                </c:pt>
                <c:pt idx="1">
                  <c:v>29.9114</c:v>
                </c:pt>
                <c:pt idx="2">
                  <c:v>30.176400000000001</c:v>
                </c:pt>
                <c:pt idx="3">
                  <c:v>34.860600000000005</c:v>
                </c:pt>
                <c:pt idx="4">
                  <c:v>35.108400000000003</c:v>
                </c:pt>
                <c:pt idx="5">
                  <c:v>38.602800000000002</c:v>
                </c:pt>
                <c:pt idx="6">
                  <c:v>39.660399999999996</c:v>
                </c:pt>
                <c:pt idx="7">
                  <c:v>36.757300000000001</c:v>
                </c:pt>
                <c:pt idx="8">
                  <c:v>33.810199999999995</c:v>
                </c:pt>
                <c:pt idx="9">
                  <c:v>37.284599999999998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color'!$O$48:$X$48</c:f>
              <c:numCache>
                <c:formatCode>0.0</c:formatCode>
                <c:ptCount val="10"/>
                <c:pt idx="0">
                  <c:v>44.701235000000004</c:v>
                </c:pt>
                <c:pt idx="1">
                  <c:v>42.271500000000003</c:v>
                </c:pt>
                <c:pt idx="2">
                  <c:v>35.462899999999998</c:v>
                </c:pt>
                <c:pt idx="3">
                  <c:v>27.385100000000001</c:v>
                </c:pt>
                <c:pt idx="4">
                  <c:v>27.108699999999999</c:v>
                </c:pt>
                <c:pt idx="5">
                  <c:v>28.685400000000001</c:v>
                </c:pt>
                <c:pt idx="6">
                  <c:v>33.751600000000003</c:v>
                </c:pt>
                <c:pt idx="7">
                  <c:v>33.9084</c:v>
                </c:pt>
                <c:pt idx="8">
                  <c:v>27.232599999999998</c:v>
                </c:pt>
                <c:pt idx="9">
                  <c:v>24.226199999999999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color'!$O$66:$X$66</c:f>
              <c:numCache>
                <c:formatCode>0.0</c:formatCode>
                <c:ptCount val="10"/>
                <c:pt idx="0">
                  <c:v>242.25372599999997</c:v>
                </c:pt>
                <c:pt idx="1">
                  <c:v>236.34139999999999</c:v>
                </c:pt>
                <c:pt idx="2">
                  <c:v>225.40640000000002</c:v>
                </c:pt>
                <c:pt idx="3">
                  <c:v>205.52390000000003</c:v>
                </c:pt>
                <c:pt idx="4">
                  <c:v>201.59649999999999</c:v>
                </c:pt>
                <c:pt idx="5">
                  <c:v>215.13139999999999</c:v>
                </c:pt>
                <c:pt idx="6">
                  <c:v>230.63239999999999</c:v>
                </c:pt>
                <c:pt idx="7">
                  <c:v>218.54050000000001</c:v>
                </c:pt>
                <c:pt idx="8">
                  <c:v>208.72360000000003</c:v>
                </c:pt>
                <c:pt idx="9">
                  <c:v>191.5231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color'!$O$84:$X$84</c:f>
              <c:numCache>
                <c:formatCode>0.0</c:formatCode>
                <c:ptCount val="10"/>
                <c:pt idx="0">
                  <c:v>600.12473999999997</c:v>
                </c:pt>
                <c:pt idx="1">
                  <c:v>509.77260000000001</c:v>
                </c:pt>
                <c:pt idx="2">
                  <c:v>485.32640000000004</c:v>
                </c:pt>
                <c:pt idx="3">
                  <c:v>467.7878</c:v>
                </c:pt>
                <c:pt idx="4">
                  <c:v>515.85680000000002</c:v>
                </c:pt>
                <c:pt idx="5">
                  <c:v>442.21950000000004</c:v>
                </c:pt>
                <c:pt idx="6">
                  <c:v>383.41640000000001</c:v>
                </c:pt>
                <c:pt idx="7">
                  <c:v>355.71109999999999</c:v>
                </c:pt>
                <c:pt idx="8">
                  <c:v>349.97519999999997</c:v>
                </c:pt>
                <c:pt idx="9">
                  <c:v>369.67459999999994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color'!$O$102:$X$102</c:f>
              <c:numCache>
                <c:formatCode>0.0</c:formatCode>
                <c:ptCount val="10"/>
                <c:pt idx="0">
                  <c:v>179.29362900000001</c:v>
                </c:pt>
                <c:pt idx="1">
                  <c:v>168.07990000000001</c:v>
                </c:pt>
                <c:pt idx="2">
                  <c:v>160.16360000000003</c:v>
                </c:pt>
                <c:pt idx="3">
                  <c:v>165.46520000000001</c:v>
                </c:pt>
                <c:pt idx="4">
                  <c:v>191.09460000000001</c:v>
                </c:pt>
                <c:pt idx="5">
                  <c:v>226.79990000000001</c:v>
                </c:pt>
                <c:pt idx="6">
                  <c:v>218.51609999999999</c:v>
                </c:pt>
                <c:pt idx="7">
                  <c:v>207.34540000000001</c:v>
                </c:pt>
                <c:pt idx="8">
                  <c:v>193.8921</c:v>
                </c:pt>
                <c:pt idx="9">
                  <c:v>200.58170000000001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color'!$O$120:$X$120</c:f>
              <c:numCache>
                <c:formatCode>0.0</c:formatCode>
                <c:ptCount val="10"/>
                <c:pt idx="0">
                  <c:v>4.0937769999999993</c:v>
                </c:pt>
                <c:pt idx="1">
                  <c:v>3.8651</c:v>
                </c:pt>
                <c:pt idx="2">
                  <c:v>4.2109000000000005</c:v>
                </c:pt>
                <c:pt idx="3">
                  <c:v>4.0318000000000005</c:v>
                </c:pt>
                <c:pt idx="4">
                  <c:v>4.5454000000000008</c:v>
                </c:pt>
                <c:pt idx="5">
                  <c:v>5.4786999999999999</c:v>
                </c:pt>
                <c:pt idx="6">
                  <c:v>7.3133999999999997</c:v>
                </c:pt>
                <c:pt idx="7">
                  <c:v>7.2397000000000009</c:v>
                </c:pt>
                <c:pt idx="8">
                  <c:v>6.3353999999999999</c:v>
                </c:pt>
                <c:pt idx="9">
                  <c:v>5.8469999999999995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color'!$O$138:$X$138</c:f>
              <c:numCache>
                <c:formatCode>0.0</c:formatCode>
                <c:ptCount val="10"/>
                <c:pt idx="0">
                  <c:v>783.51214599999992</c:v>
                </c:pt>
                <c:pt idx="1">
                  <c:v>681.71759999999995</c:v>
                </c:pt>
                <c:pt idx="2">
                  <c:v>649.70090000000005</c:v>
                </c:pt>
                <c:pt idx="3">
                  <c:v>637.2847999999999</c:v>
                </c:pt>
                <c:pt idx="4">
                  <c:v>711.49679999999989</c:v>
                </c:pt>
                <c:pt idx="5">
                  <c:v>674.49809999999991</c:v>
                </c:pt>
                <c:pt idx="6">
                  <c:v>609.24590000000001</c:v>
                </c:pt>
                <c:pt idx="7">
                  <c:v>570.2962</c:v>
                </c:pt>
                <c:pt idx="8">
                  <c:v>550.20270000000005</c:v>
                </c:pt>
                <c:pt idx="9">
                  <c:v>576.10329999999999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color'!$O$156:$X$156</c:f>
              <c:numCache>
                <c:formatCode>#,##0.0</c:formatCode>
                <c:ptCount val="10"/>
                <c:pt idx="0">
                  <c:v>1025.7658719999999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 formatCode="0.0">
                  <c:v>913.60750000000007</c:v>
                </c:pt>
                <c:pt idx="5" formatCode="0.0">
                  <c:v>890.14640000000009</c:v>
                </c:pt>
                <c:pt idx="6" formatCode="0.0">
                  <c:v>840.57370000000003</c:v>
                </c:pt>
                <c:pt idx="7" formatCode="0.0">
                  <c:v>790.28679999999997</c:v>
                </c:pt>
                <c:pt idx="8" formatCode="0.0">
                  <c:v>760.1934</c:v>
                </c:pt>
                <c:pt idx="9" formatCode="0.0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Juliio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tipo'!$O$13:$X$13</c:f>
              <c:numCache>
                <c:formatCode>0.0</c:formatCode>
                <c:ptCount val="10"/>
                <c:pt idx="0">
                  <c:v>36.933148000000003</c:v>
                </c:pt>
                <c:pt idx="1">
                  <c:v>29.798298000000003</c:v>
                </c:pt>
                <c:pt idx="2">
                  <c:v>31.7897</c:v>
                </c:pt>
                <c:pt idx="3">
                  <c:v>102.92949999999999</c:v>
                </c:pt>
                <c:pt idx="4">
                  <c:v>151.09559999999999</c:v>
                </c:pt>
                <c:pt idx="5">
                  <c:v>86.525800000000004</c:v>
                </c:pt>
                <c:pt idx="6">
                  <c:v>44.654899999999998</c:v>
                </c:pt>
                <c:pt idx="7">
                  <c:v>20.158999999999999</c:v>
                </c:pt>
                <c:pt idx="8">
                  <c:v>21.061199999999999</c:v>
                </c:pt>
                <c:pt idx="9">
                  <c:v>22.1267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tipo'!$O$31:$X$31</c:f>
              <c:numCache>
                <c:formatCode>0.0</c:formatCode>
                <c:ptCount val="10"/>
                <c:pt idx="0">
                  <c:v>209.828587</c:v>
                </c:pt>
                <c:pt idx="1">
                  <c:v>207.08420000000001</c:v>
                </c:pt>
                <c:pt idx="2">
                  <c:v>189.78700000000003</c:v>
                </c:pt>
                <c:pt idx="3">
                  <c:v>203.10489999999999</c:v>
                </c:pt>
                <c:pt idx="4">
                  <c:v>236.33259999999999</c:v>
                </c:pt>
                <c:pt idx="5">
                  <c:v>265.46980000000002</c:v>
                </c:pt>
                <c:pt idx="6">
                  <c:v>244.39139999999998</c:v>
                </c:pt>
                <c:pt idx="7">
                  <c:v>194.86930000000001</c:v>
                </c:pt>
                <c:pt idx="8">
                  <c:v>179.87259999999998</c:v>
                </c:pt>
                <c:pt idx="9">
                  <c:v>174.44589999999999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tipo'!$O$49:$X$49</c:f>
              <c:numCache>
                <c:formatCode>0.0</c:formatCode>
                <c:ptCount val="10"/>
                <c:pt idx="0">
                  <c:v>3.016667</c:v>
                </c:pt>
                <c:pt idx="1">
                  <c:v>3.412652</c:v>
                </c:pt>
                <c:pt idx="2">
                  <c:v>3.4478000000000004</c:v>
                </c:pt>
                <c:pt idx="3">
                  <c:v>3.2639</c:v>
                </c:pt>
                <c:pt idx="4">
                  <c:v>3.0648999999999997</c:v>
                </c:pt>
                <c:pt idx="5">
                  <c:v>3.3654999999999999</c:v>
                </c:pt>
                <c:pt idx="6">
                  <c:v>5.313600000000001</c:v>
                </c:pt>
                <c:pt idx="7">
                  <c:v>5.5594999999999999</c:v>
                </c:pt>
                <c:pt idx="8">
                  <c:v>4.7568999999999999</c:v>
                </c:pt>
                <c:pt idx="9">
                  <c:v>5.1417999999999999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tipo'!$O$67:$X$67</c:f>
              <c:numCache>
                <c:formatCode>0.0</c:formatCode>
                <c:ptCount val="10"/>
                <c:pt idx="0">
                  <c:v>249.90012099999996</c:v>
                </c:pt>
                <c:pt idx="1">
                  <c:v>240.4366</c:v>
                </c:pt>
                <c:pt idx="2">
                  <c:v>225.0582</c:v>
                </c:pt>
                <c:pt idx="3">
                  <c:v>309.47019999999998</c:v>
                </c:pt>
                <c:pt idx="4">
                  <c:v>390.5145</c:v>
                </c:pt>
                <c:pt idx="5">
                  <c:v>355.38679999999999</c:v>
                </c:pt>
                <c:pt idx="6">
                  <c:v>294.41570000000002</c:v>
                </c:pt>
                <c:pt idx="7">
                  <c:v>220.61850000000001</c:v>
                </c:pt>
                <c:pt idx="8">
                  <c:v>205.95840000000001</c:v>
                </c:pt>
                <c:pt idx="9">
                  <c:v>201.74020000000002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Julio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envase'!$O$13:$X$13</c:f>
              <c:numCache>
                <c:formatCode>0.0</c:formatCode>
                <c:ptCount val="10"/>
                <c:pt idx="0">
                  <c:v>196.04233000000002</c:v>
                </c:pt>
                <c:pt idx="1">
                  <c:v>201.87379999999999</c:v>
                </c:pt>
                <c:pt idx="2">
                  <c:v>188.58199999999999</c:v>
                </c:pt>
                <c:pt idx="3">
                  <c:v>189.82580000000002</c:v>
                </c:pt>
                <c:pt idx="4">
                  <c:v>196.55169999999998</c:v>
                </c:pt>
                <c:pt idx="5">
                  <c:v>213.84559999999999</c:v>
                </c:pt>
                <c:pt idx="6">
                  <c:v>210.42579999999998</c:v>
                </c:pt>
                <c:pt idx="7">
                  <c:v>169.33029999999999</c:v>
                </c:pt>
                <c:pt idx="8">
                  <c:v>152.59450000000001</c:v>
                </c:pt>
                <c:pt idx="9">
                  <c:v>152.82619999999997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envase'!$O$31:$X$31</c:f>
              <c:numCache>
                <c:formatCode>0.0</c:formatCode>
                <c:ptCount val="10"/>
                <c:pt idx="0">
                  <c:v>53.857628000000005</c:v>
                </c:pt>
                <c:pt idx="1">
                  <c:v>38.562938000000003</c:v>
                </c:pt>
                <c:pt idx="2">
                  <c:v>36.476399999999998</c:v>
                </c:pt>
                <c:pt idx="3">
                  <c:v>119.5239</c:v>
                </c:pt>
                <c:pt idx="4">
                  <c:v>193.96609999999998</c:v>
                </c:pt>
                <c:pt idx="5">
                  <c:v>141.536</c:v>
                </c:pt>
                <c:pt idx="6">
                  <c:v>83.612499999999983</c:v>
                </c:pt>
                <c:pt idx="7">
                  <c:v>52.153599999999997</c:v>
                </c:pt>
                <c:pt idx="8">
                  <c:v>48.407399999999996</c:v>
                </c:pt>
                <c:pt idx="9">
                  <c:v>48.914000000000001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envase'!$O$49:$X$49</c:f>
              <c:numCache>
                <c:formatCode>0.0</c:formatCode>
                <c:ptCount val="10"/>
                <c:pt idx="0">
                  <c:v>249.899958</c:v>
                </c:pt>
                <c:pt idx="1">
                  <c:v>240.43673800000002</c:v>
                </c:pt>
                <c:pt idx="2">
                  <c:v>225.05840000000001</c:v>
                </c:pt>
                <c:pt idx="3">
                  <c:v>309.34969999999998</c:v>
                </c:pt>
                <c:pt idx="4">
                  <c:v>390.51780000000002</c:v>
                </c:pt>
                <c:pt idx="5">
                  <c:v>355.38159999999999</c:v>
                </c:pt>
                <c:pt idx="6">
                  <c:v>294.03829999999999</c:v>
                </c:pt>
                <c:pt idx="7">
                  <c:v>221.48390000000001</c:v>
                </c:pt>
                <c:pt idx="8">
                  <c:v>201.00190000000001</c:v>
                </c:pt>
                <c:pt idx="9">
                  <c:v>201.74020000000002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envase'!$O$66:$X$66</c:f>
              <c:numCache>
                <c:formatCode>0.0</c:formatCode>
                <c:ptCount val="10"/>
                <c:pt idx="0">
                  <c:v>735.74374</c:v>
                </c:pt>
                <c:pt idx="1">
                  <c:v>775.05800000000011</c:v>
                </c:pt>
                <c:pt idx="2">
                  <c:v>765.84799999999996</c:v>
                </c:pt>
                <c:pt idx="3">
                  <c:v>749.99099999999999</c:v>
                </c:pt>
                <c:pt idx="4">
                  <c:v>704.149</c:v>
                </c:pt>
                <c:pt idx="5">
                  <c:v>778.48500000000001</c:v>
                </c:pt>
                <c:pt idx="6">
                  <c:v>802.99499999999989</c:v>
                </c:pt>
                <c:pt idx="7">
                  <c:v>688.471</c:v>
                </c:pt>
                <c:pt idx="8">
                  <c:v>646.81799999999998</c:v>
                </c:pt>
                <c:pt idx="9">
                  <c:v>648.53499999999997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envase'!$O$84:$X$84</c:f>
              <c:numCache>
                <c:formatCode>0.0</c:formatCode>
                <c:ptCount val="10"/>
                <c:pt idx="0">
                  <c:v>50.86777</c:v>
                </c:pt>
                <c:pt idx="1">
                  <c:v>50.324610000000007</c:v>
                </c:pt>
                <c:pt idx="2">
                  <c:v>49.039000000000001</c:v>
                </c:pt>
                <c:pt idx="3">
                  <c:v>73.459000000000003</c:v>
                </c:pt>
                <c:pt idx="4">
                  <c:v>82.415000000000006</c:v>
                </c:pt>
                <c:pt idx="5">
                  <c:v>82.75200000000001</c:v>
                </c:pt>
                <c:pt idx="6">
                  <c:v>62.551000000000002</c:v>
                </c:pt>
                <c:pt idx="7">
                  <c:v>49.564999999999998</c:v>
                </c:pt>
                <c:pt idx="8">
                  <c:v>48.569000000000003</c:v>
                </c:pt>
                <c:pt idx="9">
                  <c:v>47.619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envase'!$O$102:$X$102</c:f>
              <c:numCache>
                <c:formatCode>0.0</c:formatCode>
                <c:ptCount val="10"/>
                <c:pt idx="0">
                  <c:v>786.61150999999984</c:v>
                </c:pt>
                <c:pt idx="1">
                  <c:v>825.38261</c:v>
                </c:pt>
                <c:pt idx="2">
                  <c:v>814.88699999999994</c:v>
                </c:pt>
                <c:pt idx="3">
                  <c:v>823.44999999999993</c:v>
                </c:pt>
                <c:pt idx="4">
                  <c:v>786.56400000000008</c:v>
                </c:pt>
                <c:pt idx="5">
                  <c:v>861.23700000000008</c:v>
                </c:pt>
                <c:pt idx="6">
                  <c:v>865.54600000000005</c:v>
                </c:pt>
                <c:pt idx="7">
                  <c:v>738.03600000000006</c:v>
                </c:pt>
                <c:pt idx="8">
                  <c:v>695.38699999999994</c:v>
                </c:pt>
                <c:pt idx="9">
                  <c:v>696.154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envase'!$O$119:$X$119</c:f>
              <c:numCache>
                <c:formatCode>0.00</c:formatCode>
                <c:ptCount val="10"/>
                <c:pt idx="0">
                  <c:v>3.7529840621665733</c:v>
                </c:pt>
                <c:pt idx="1">
                  <c:v>3.839319416387863</c:v>
                </c:pt>
                <c:pt idx="2">
                  <c:v>4.061087484489506</c:v>
                </c:pt>
                <c:pt idx="3">
                  <c:v>3.950943443936493</c:v>
                </c:pt>
                <c:pt idx="4">
                  <c:v>3.5825128960980752</c:v>
                </c:pt>
                <c:pt idx="5">
                  <c:v>3.6404069104063868</c:v>
                </c:pt>
                <c:pt idx="6">
                  <c:v>3.8160482222237007</c:v>
                </c:pt>
                <c:pt idx="7">
                  <c:v>4.0658464551235074</c:v>
                </c:pt>
                <c:pt idx="8">
                  <c:v>4.2388028402072155</c:v>
                </c:pt>
                <c:pt idx="9">
                  <c:v>4.2436113703016893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envase'!$O$137:$X$137</c:f>
              <c:numCache>
                <c:formatCode>0.00</c:formatCode>
                <c:ptCount val="10"/>
                <c:pt idx="0">
                  <c:v>0.94448589529416327</c:v>
                </c:pt>
                <c:pt idx="1">
                  <c:v>1.3049993753069333</c:v>
                </c:pt>
                <c:pt idx="2">
                  <c:v>1.3444035047318268</c:v>
                </c:pt>
                <c:pt idx="3">
                  <c:v>0.61459674592278202</c:v>
                </c:pt>
                <c:pt idx="4">
                  <c:v>0.42489383454119051</c:v>
                </c:pt>
                <c:pt idx="5">
                  <c:v>0.58467103775717844</c:v>
                </c:pt>
                <c:pt idx="6">
                  <c:v>0.74810584541785041</c:v>
                </c:pt>
                <c:pt idx="7">
                  <c:v>0.95036584243465461</c:v>
                </c:pt>
                <c:pt idx="8">
                  <c:v>1.0033383325689875</c:v>
                </c:pt>
                <c:pt idx="9">
                  <c:v>0.97352496217851736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envase'!$O$155:$X$155</c:f>
              <c:numCache>
                <c:formatCode>0.00</c:formatCode>
                <c:ptCount val="10"/>
                <c:pt idx="0">
                  <c:v>3.1477056510749786</c:v>
                </c:pt>
                <c:pt idx="1">
                  <c:v>3.432847313042485</c:v>
                </c:pt>
                <c:pt idx="2">
                  <c:v>3.6207802063819878</c:v>
                </c:pt>
                <c:pt idx="3">
                  <c:v>2.6618742478172761</c:v>
                </c:pt>
                <c:pt idx="4">
                  <c:v>2.0141565890210384</c:v>
                </c:pt>
                <c:pt idx="5">
                  <c:v>2.4234147181508554</c:v>
                </c:pt>
                <c:pt idx="6">
                  <c:v>2.9436505380421534</c:v>
                </c:pt>
                <c:pt idx="7">
                  <c:v>3.332233178122654</c:v>
                </c:pt>
                <c:pt idx="8">
                  <c:v>3.4596041131949495</c:v>
                </c:pt>
                <c:pt idx="9">
                  <c:v>3.4507450671705486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12" Type="http://schemas.openxmlformats.org/officeDocument/2006/relationships/chart" Target="../charts/chart89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18" Type="http://schemas.openxmlformats.org/officeDocument/2006/relationships/chart" Target="../charts/chart134.xml"/><Relationship Id="rId26" Type="http://schemas.openxmlformats.org/officeDocument/2006/relationships/chart" Target="../charts/chart142.xml"/><Relationship Id="rId3" Type="http://schemas.openxmlformats.org/officeDocument/2006/relationships/chart" Target="../charts/chart119.xml"/><Relationship Id="rId21" Type="http://schemas.openxmlformats.org/officeDocument/2006/relationships/chart" Target="../charts/chart137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17" Type="http://schemas.openxmlformats.org/officeDocument/2006/relationships/chart" Target="../charts/chart133.xml"/><Relationship Id="rId25" Type="http://schemas.openxmlformats.org/officeDocument/2006/relationships/chart" Target="../charts/chart141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20" Type="http://schemas.openxmlformats.org/officeDocument/2006/relationships/chart" Target="../charts/chart136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24" Type="http://schemas.openxmlformats.org/officeDocument/2006/relationships/chart" Target="../charts/chart140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23" Type="http://schemas.openxmlformats.org/officeDocument/2006/relationships/chart" Target="../charts/chart139.xml"/><Relationship Id="rId10" Type="http://schemas.openxmlformats.org/officeDocument/2006/relationships/chart" Target="../charts/chart126.xml"/><Relationship Id="rId19" Type="http://schemas.openxmlformats.org/officeDocument/2006/relationships/chart" Target="../charts/chart135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Relationship Id="rId22" Type="http://schemas.openxmlformats.org/officeDocument/2006/relationships/chart" Target="../charts/chart138.xml"/><Relationship Id="rId27" Type="http://schemas.openxmlformats.org/officeDocument/2006/relationships/chart" Target="../charts/chart14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26" Type="http://schemas.openxmlformats.org/officeDocument/2006/relationships/chart" Target="../charts/chart169.xml"/><Relationship Id="rId3" Type="http://schemas.openxmlformats.org/officeDocument/2006/relationships/chart" Target="../charts/chart146.xml"/><Relationship Id="rId21" Type="http://schemas.openxmlformats.org/officeDocument/2006/relationships/chart" Target="../charts/chart164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5" Type="http://schemas.openxmlformats.org/officeDocument/2006/relationships/chart" Target="../charts/chart168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29" Type="http://schemas.openxmlformats.org/officeDocument/2006/relationships/chart" Target="../charts/chart172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24" Type="http://schemas.openxmlformats.org/officeDocument/2006/relationships/chart" Target="../charts/chart167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23" Type="http://schemas.openxmlformats.org/officeDocument/2006/relationships/chart" Target="../charts/chart166.xml"/><Relationship Id="rId28" Type="http://schemas.openxmlformats.org/officeDocument/2006/relationships/chart" Target="../charts/chart171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Relationship Id="rId22" Type="http://schemas.openxmlformats.org/officeDocument/2006/relationships/chart" Target="../charts/chart165.xml"/><Relationship Id="rId27" Type="http://schemas.openxmlformats.org/officeDocument/2006/relationships/chart" Target="../charts/chart170.xml"/><Relationship Id="rId30" Type="http://schemas.openxmlformats.org/officeDocument/2006/relationships/chart" Target="../charts/chart17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1.xml"/><Relationship Id="rId13" Type="http://schemas.openxmlformats.org/officeDocument/2006/relationships/chart" Target="../charts/chart186.xml"/><Relationship Id="rId3" Type="http://schemas.openxmlformats.org/officeDocument/2006/relationships/chart" Target="../charts/chart176.xml"/><Relationship Id="rId7" Type="http://schemas.openxmlformats.org/officeDocument/2006/relationships/chart" Target="../charts/chart180.xml"/><Relationship Id="rId12" Type="http://schemas.openxmlformats.org/officeDocument/2006/relationships/chart" Target="../charts/chart185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6" Type="http://schemas.openxmlformats.org/officeDocument/2006/relationships/chart" Target="../charts/chart179.xml"/><Relationship Id="rId11" Type="http://schemas.openxmlformats.org/officeDocument/2006/relationships/chart" Target="../charts/chart184.xml"/><Relationship Id="rId5" Type="http://schemas.openxmlformats.org/officeDocument/2006/relationships/chart" Target="../charts/chart178.xml"/><Relationship Id="rId10" Type="http://schemas.openxmlformats.org/officeDocument/2006/relationships/chart" Target="../charts/chart183.xml"/><Relationship Id="rId4" Type="http://schemas.openxmlformats.org/officeDocument/2006/relationships/chart" Target="../charts/chart177.xml"/><Relationship Id="rId9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.xml"/><Relationship Id="rId13" Type="http://schemas.openxmlformats.org/officeDocument/2006/relationships/chart" Target="../charts/chart199.xml"/><Relationship Id="rId3" Type="http://schemas.openxmlformats.org/officeDocument/2006/relationships/chart" Target="../charts/chart189.xml"/><Relationship Id="rId7" Type="http://schemas.openxmlformats.org/officeDocument/2006/relationships/chart" Target="../charts/chart193.xml"/><Relationship Id="rId12" Type="http://schemas.openxmlformats.org/officeDocument/2006/relationships/chart" Target="../charts/chart198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10" Type="http://schemas.openxmlformats.org/officeDocument/2006/relationships/chart" Target="../charts/chart19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22</xdr:row>
      <xdr:rowOff>0</xdr:rowOff>
    </xdr:from>
    <xdr:to>
      <xdr:col>32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/Estadistica/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/Carpeta%20en%20Red/Estadistica/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/Estadistica/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218248</v>
          </cell>
        </row>
        <row r="412">
          <cell r="B412">
            <v>166924</v>
          </cell>
        </row>
        <row r="413">
          <cell r="B413">
            <v>121046</v>
          </cell>
        </row>
        <row r="414">
          <cell r="B414">
            <v>139244</v>
          </cell>
        </row>
        <row r="415">
          <cell r="B415">
            <v>147433</v>
          </cell>
        </row>
        <row r="416">
          <cell r="B416">
            <v>179559</v>
          </cell>
        </row>
        <row r="417">
          <cell r="B417">
            <v>263082</v>
          </cell>
        </row>
        <row r="418">
          <cell r="B418">
            <v>159318</v>
          </cell>
        </row>
        <row r="419">
          <cell r="B419">
            <v>218441</v>
          </cell>
        </row>
        <row r="420">
          <cell r="B420">
            <v>232133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206330</v>
          </cell>
        </row>
        <row r="424">
          <cell r="B424">
            <v>151659</v>
          </cell>
        </row>
        <row r="425">
          <cell r="B425">
            <v>145138</v>
          </cell>
        </row>
        <row r="426">
          <cell r="B426">
            <v>132531</v>
          </cell>
        </row>
        <row r="427">
          <cell r="B427">
            <v>168946</v>
          </cell>
        </row>
        <row r="428">
          <cell r="B428">
            <v>209985</v>
          </cell>
        </row>
        <row r="429">
          <cell r="B429">
            <v>263635</v>
          </cell>
        </row>
        <row r="430">
          <cell r="B430">
            <v>208708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H12" sqref="H12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X67" sqref="X67:Z67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25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26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27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/>
      <c r="L14" s="7"/>
      <c r="M14" s="2"/>
      <c r="N14" s="42" t="s">
        <v>5</v>
      </c>
      <c r="O14" s="6">
        <f>+SUM('[3]3.EXPORTACION POR TIPO'!B313:B324)/10000</f>
        <v>38.841259000000001</v>
      </c>
      <c r="P14" s="6">
        <f t="shared" ref="P14:W14" si="15">+SUM(C7:C14)+SUM(B15:B18)</f>
        <v>28.302367000000004</v>
      </c>
      <c r="Q14" s="6">
        <f t="shared" si="15"/>
        <v>44.820099999999996</v>
      </c>
      <c r="R14" s="6">
        <f t="shared" si="15"/>
        <v>95.332999999999998</v>
      </c>
      <c r="S14" s="6">
        <f t="shared" si="15"/>
        <v>150.63740000000001</v>
      </c>
      <c r="T14" s="6">
        <f t="shared" si="15"/>
        <v>83.800299999999993</v>
      </c>
      <c r="U14" s="6">
        <f t="shared" si="15"/>
        <v>41.955199999999998</v>
      </c>
      <c r="V14" s="6">
        <f t="shared" si="15"/>
        <v>19.160699999999999</v>
      </c>
      <c r="W14" s="67">
        <f t="shared" si="15"/>
        <v>21.370099999999997</v>
      </c>
      <c r="X14" s="37"/>
      <c r="Y14" s="78"/>
      <c r="Z14" s="7"/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/>
      <c r="L15" s="7"/>
      <c r="M15" s="2"/>
      <c r="N15" s="42" t="s">
        <v>6</v>
      </c>
      <c r="O15" s="6">
        <f>+SUM('[3]3.EXPORTACION POR TIPO'!B314:B325)/10000</f>
        <v>39.531776000000001</v>
      </c>
      <c r="P15" s="6">
        <f t="shared" ref="P15:W15" si="16">+SUM(C7:C15)+SUM(B16:B18)</f>
        <v>27.720800000000001</v>
      </c>
      <c r="Q15" s="6">
        <f t="shared" si="16"/>
        <v>60.055700000000002</v>
      </c>
      <c r="R15" s="6">
        <f t="shared" si="16"/>
        <v>86.497199999999992</v>
      </c>
      <c r="S15" s="6">
        <f t="shared" si="16"/>
        <v>149.602</v>
      </c>
      <c r="T15" s="6">
        <f t="shared" si="16"/>
        <v>80.525399999999991</v>
      </c>
      <c r="U15" s="6">
        <f t="shared" si="16"/>
        <v>39.654399999999995</v>
      </c>
      <c r="V15" s="6">
        <f t="shared" si="16"/>
        <v>19.122599999999998</v>
      </c>
      <c r="W15" s="67">
        <f t="shared" si="16"/>
        <v>21.022599999999997</v>
      </c>
      <c r="X15" s="37"/>
      <c r="Y15" s="78"/>
      <c r="Z15" s="7"/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17">+SUM(C7:C16)+SUM(B17:B18)</f>
        <v>26.668400000000002</v>
      </c>
      <c r="Q16" s="6">
        <f t="shared" si="17"/>
        <v>72.361699999999999</v>
      </c>
      <c r="R16" s="6">
        <f t="shared" si="17"/>
        <v>82.33420000000001</v>
      </c>
      <c r="S16" s="6">
        <f t="shared" si="17"/>
        <v>146.04590000000002</v>
      </c>
      <c r="T16" s="6">
        <f t="shared" si="17"/>
        <v>78.239899999999992</v>
      </c>
      <c r="U16" s="6">
        <f t="shared" si="17"/>
        <v>37.535399999999996</v>
      </c>
      <c r="V16" s="6">
        <f t="shared" si="17"/>
        <v>19.349299999999999</v>
      </c>
      <c r="W16" s="67">
        <f t="shared" si="17"/>
        <v>20.691099999999999</v>
      </c>
      <c r="X16" s="37"/>
      <c r="Y16" s="78"/>
      <c r="Z16" s="7"/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18">+SUM(C7:C17)+SUM(B18)</f>
        <v>26.471900000000002</v>
      </c>
      <c r="Q17" s="6">
        <f t="shared" si="18"/>
        <v>76.840199999999996</v>
      </c>
      <c r="R17" s="6">
        <f t="shared" si="18"/>
        <v>84.900300000000001</v>
      </c>
      <c r="S17" s="6">
        <f t="shared" si="18"/>
        <v>147.18440000000001</v>
      </c>
      <c r="T17" s="6">
        <f t="shared" si="18"/>
        <v>73.509399999999985</v>
      </c>
      <c r="U17" s="6">
        <f t="shared" si="18"/>
        <v>34.233600000000003</v>
      </c>
      <c r="V17" s="6">
        <f t="shared" si="18"/>
        <v>18.722200000000001</v>
      </c>
      <c r="W17" s="67">
        <f t="shared" si="18"/>
        <v>21.238699999999998</v>
      </c>
      <c r="X17" s="37"/>
      <c r="Y17" s="78"/>
      <c r="Z17" s="7"/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19">+SUM(C7:C18)</f>
        <v>25.582600000000003</v>
      </c>
      <c r="Q18" s="6">
        <f t="shared" si="19"/>
        <v>80.024199999999993</v>
      </c>
      <c r="R18" s="6">
        <f t="shared" si="19"/>
        <v>98.084500000000006</v>
      </c>
      <c r="S18" s="6">
        <f t="shared" si="19"/>
        <v>135.52110000000002</v>
      </c>
      <c r="T18" s="6">
        <f t="shared" si="19"/>
        <v>69.813099999999991</v>
      </c>
      <c r="U18" s="6">
        <f t="shared" si="19"/>
        <v>33.584499999999998</v>
      </c>
      <c r="V18" s="6">
        <f t="shared" si="19"/>
        <v>17.9024</v>
      </c>
      <c r="W18" s="67">
        <f t="shared" si="19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20">SUM(C7:C18)</f>
        <v>25.582600000000003</v>
      </c>
      <c r="D19" s="159">
        <f t="shared" si="20"/>
        <v>80.024199999999993</v>
      </c>
      <c r="E19" s="159">
        <f t="shared" si="20"/>
        <v>98.084500000000006</v>
      </c>
      <c r="F19" s="159">
        <f t="shared" si="20"/>
        <v>135.52110000000002</v>
      </c>
      <c r="G19" s="159">
        <f t="shared" ref="G19:H19" si="21">SUM(G7:G18)</f>
        <v>69.813099999999991</v>
      </c>
      <c r="H19" s="159">
        <f t="shared" si="21"/>
        <v>33.584499999999998</v>
      </c>
      <c r="I19" s="159">
        <f t="shared" ref="I19:J19" si="22">SUM(I7:I18)</f>
        <v>17.9024</v>
      </c>
      <c r="J19" s="216">
        <f t="shared" si="22"/>
        <v>21.989699999999999</v>
      </c>
      <c r="K19" s="216"/>
      <c r="L19" s="56"/>
      <c r="M19" s="3"/>
      <c r="N19" s="43" t="s">
        <v>14</v>
      </c>
      <c r="O19" s="46">
        <f t="shared" ref="O19" si="23">+AVERAGE(O7:O18)</f>
        <v>37.380513583333332</v>
      </c>
      <c r="P19" s="46">
        <f>+AVERAGE(P7:P18)</f>
        <v>31.208874083333331</v>
      </c>
      <c r="Q19" s="46">
        <f t="shared" ref="Q19:U19" si="24">+AVERAGE(Q7:Q18)</f>
        <v>44.061908333333328</v>
      </c>
      <c r="R19" s="46">
        <f t="shared" si="24"/>
        <v>93.026283333333325</v>
      </c>
      <c r="S19" s="46">
        <f t="shared" si="24"/>
        <v>141.71844166666668</v>
      </c>
      <c r="T19" s="46">
        <f t="shared" si="24"/>
        <v>87.690908333333354</v>
      </c>
      <c r="U19" s="226">
        <f t="shared" si="24"/>
        <v>48.523525000000006</v>
      </c>
      <c r="V19" s="226">
        <f t="shared" ref="V19:W19" si="25">+AVERAGE(V7:V18)</f>
        <v>23.084008333333333</v>
      </c>
      <c r="W19" s="220">
        <f t="shared" si="25"/>
        <v>19.826516666666667</v>
      </c>
      <c r="X19" s="220">
        <f t="shared" ref="X19" si="26">+AVERAGE(X7:X18)</f>
        <v>22.397128571428571</v>
      </c>
      <c r="Y19" s="79">
        <f>+X19/W19-1</f>
        <v>0.129655246455054</v>
      </c>
      <c r="Z19" s="75">
        <f>+POWER(X19/S19,0.2)-1</f>
        <v>-0.30856207770757038</v>
      </c>
    </row>
    <row r="20" spans="1:26" ht="25.5" x14ac:dyDescent="0.25">
      <c r="A20" s="57" t="s">
        <v>15</v>
      </c>
      <c r="B20" s="195">
        <f t="shared" ref="B20:G20" si="27">+B19/B$73</f>
        <v>0.14953505849417817</v>
      </c>
      <c r="C20" s="58">
        <f t="shared" si="27"/>
        <v>0.11458570816221503</v>
      </c>
      <c r="D20" s="58">
        <f t="shared" si="27"/>
        <v>0.29061960246545215</v>
      </c>
      <c r="E20" s="58">
        <f t="shared" si="27"/>
        <v>0.3138985253078676</v>
      </c>
      <c r="F20" s="58">
        <f t="shared" si="27"/>
        <v>0.34321973051695531</v>
      </c>
      <c r="G20" s="58">
        <f t="shared" si="27"/>
        <v>0.20759432618545934</v>
      </c>
      <c r="H20" s="58">
        <f t="shared" ref="H20:I20" si="28">+H19/H$73</f>
        <v>0.12660682989646999</v>
      </c>
      <c r="I20" s="58">
        <f t="shared" si="28"/>
        <v>8.8301736400889397E-2</v>
      </c>
      <c r="J20" s="189">
        <f t="shared" ref="J20" si="29">+J19/J$73</f>
        <v>0.10459133197618006</v>
      </c>
      <c r="K20" s="188"/>
      <c r="L20" s="59"/>
      <c r="M20" s="3"/>
      <c r="N20" s="44" t="s">
        <v>15</v>
      </c>
      <c r="O20" s="48">
        <f t="shared" ref="O20:U20" si="30">+O19/O$73</f>
        <v>0.1455637530258577</v>
      </c>
      <c r="P20" s="48">
        <f t="shared" si="30"/>
        <v>0.1299963165166631</v>
      </c>
      <c r="Q20" s="48">
        <f t="shared" si="30"/>
        <v>0.1856737121085783</v>
      </c>
      <c r="R20" s="48">
        <f t="shared" si="30"/>
        <v>0.31021046307144468</v>
      </c>
      <c r="S20" s="48">
        <f t="shared" si="30"/>
        <v>0.37415214821167692</v>
      </c>
      <c r="T20" s="48">
        <f t="shared" si="30"/>
        <v>0.24824186246560023</v>
      </c>
      <c r="U20" s="58">
        <f t="shared" si="30"/>
        <v>0.16147852266204898</v>
      </c>
      <c r="V20" s="58">
        <f t="shared" ref="V20:W20" si="31">+V19/V$73</f>
        <v>0.10184206691144322</v>
      </c>
      <c r="W20" s="189">
        <f t="shared" si="31"/>
        <v>9.71647898634206E-2</v>
      </c>
      <c r="X20" s="189">
        <f t="shared" ref="X20" si="32">+X19/X$73</f>
        <v>0.10861532484371729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33">+D19/C19-1</f>
        <v>2.1280714235456908</v>
      </c>
      <c r="E21" s="62">
        <f t="shared" si="33"/>
        <v>0.2256854801422572</v>
      </c>
      <c r="F21" s="62">
        <f t="shared" si="33"/>
        <v>0.38167702338289944</v>
      </c>
      <c r="G21" s="62">
        <f t="shared" si="33"/>
        <v>-0.48485438798829128</v>
      </c>
      <c r="H21" s="62">
        <f t="shared" si="33"/>
        <v>-0.51893699033562468</v>
      </c>
      <c r="I21" s="62">
        <f t="shared" si="33"/>
        <v>-0.46694457264511902</v>
      </c>
      <c r="J21" s="190">
        <f t="shared" si="33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34">+Q19/P19-1</f>
        <v>0.41183908832084337</v>
      </c>
      <c r="R21" s="50">
        <f t="shared" si="34"/>
        <v>1.1112631488763256</v>
      </c>
      <c r="S21" s="50">
        <f t="shared" si="34"/>
        <v>0.52342366682391051</v>
      </c>
      <c r="T21" s="50">
        <f t="shared" si="34"/>
        <v>-0.38123149463081507</v>
      </c>
      <c r="U21" s="62">
        <f t="shared" si="34"/>
        <v>-0.44665272692180469</v>
      </c>
      <c r="V21" s="62">
        <f t="shared" si="34"/>
        <v>-0.52427181798244604</v>
      </c>
      <c r="W21" s="190">
        <f t="shared" si="34"/>
        <v>-0.14111464610601643</v>
      </c>
      <c r="X21" s="190">
        <f t="shared" si="34"/>
        <v>0.129655246455054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6">+P24+1</f>
        <v>2018</v>
      </c>
      <c r="R24" s="64">
        <f t="shared" si="36"/>
        <v>2019</v>
      </c>
      <c r="S24" s="64">
        <f t="shared" si="36"/>
        <v>2020</v>
      </c>
      <c r="T24" s="64">
        <f t="shared" ref="T24" si="37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38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39">+SUM(C25)+SUM(B26:B36)</f>
        <v>218.71474100000003</v>
      </c>
      <c r="Q25" s="6">
        <f t="shared" si="39"/>
        <v>190.34180000000001</v>
      </c>
      <c r="R25" s="6">
        <f t="shared" si="39"/>
        <v>194.83350000000002</v>
      </c>
      <c r="S25" s="6">
        <f t="shared" si="39"/>
        <v>214.19419999999997</v>
      </c>
      <c r="T25" s="6">
        <f t="shared" si="39"/>
        <v>255.59110000000001</v>
      </c>
      <c r="U25" s="6">
        <f t="shared" si="39"/>
        <v>258.26530000000002</v>
      </c>
      <c r="V25" s="6">
        <f t="shared" si="39"/>
        <v>224.10120000000001</v>
      </c>
      <c r="W25" s="67">
        <f t="shared" si="39"/>
        <v>178.7801</v>
      </c>
      <c r="X25" s="37">
        <f>+SUM(K25)+SUM(J26:J36)</f>
        <v>181.01159999999999</v>
      </c>
      <c r="Y25" s="78">
        <f t="shared" ref="Y25:Y31" si="40">+X25/W25-1</f>
        <v>1.2481814251138701E-2</v>
      </c>
      <c r="Z25" s="7">
        <f t="shared" ref="Z25:Z31" si="41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38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42">+SUM(C25:C26)+SUM(B27:B36)</f>
        <v>213.92974100000004</v>
      </c>
      <c r="Q26" s="6">
        <f t="shared" si="42"/>
        <v>191.75559999999999</v>
      </c>
      <c r="R26" s="6">
        <f t="shared" si="42"/>
        <v>196.709</v>
      </c>
      <c r="S26" s="6">
        <f t="shared" si="42"/>
        <v>216.68959999999998</v>
      </c>
      <c r="T26" s="6">
        <f t="shared" si="42"/>
        <v>257.64080000000001</v>
      </c>
      <c r="U26" s="6">
        <f t="shared" si="42"/>
        <v>256.82630000000006</v>
      </c>
      <c r="V26" s="6">
        <f t="shared" si="42"/>
        <v>218.88720000000001</v>
      </c>
      <c r="W26" s="67">
        <f t="shared" si="42"/>
        <v>178.72370000000001</v>
      </c>
      <c r="X26" s="37">
        <f t="shared" ref="X26" si="43">+SUM(K25:K26)+SUM(J27:J36)</f>
        <v>180.52250000000001</v>
      </c>
      <c r="Y26" s="78">
        <f t="shared" si="40"/>
        <v>1.0064697631036124E-2</v>
      </c>
      <c r="Z26" s="7">
        <f t="shared" si="41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38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44">+SUM(C25:C27)+SUM(B28:B36)</f>
        <v>210.80398600000001</v>
      </c>
      <c r="Q27" s="6">
        <f t="shared" si="44"/>
        <v>190.95230000000001</v>
      </c>
      <c r="R27" s="6">
        <f t="shared" si="44"/>
        <v>197.67939999999999</v>
      </c>
      <c r="S27" s="6">
        <f t="shared" si="44"/>
        <v>217.22689999999997</v>
      </c>
      <c r="T27" s="6">
        <f t="shared" si="44"/>
        <v>264.28190000000001</v>
      </c>
      <c r="U27" s="6">
        <f t="shared" si="44"/>
        <v>255.05039999999997</v>
      </c>
      <c r="V27" s="6">
        <f t="shared" si="44"/>
        <v>214.87289999999999</v>
      </c>
      <c r="W27" s="67">
        <f t="shared" ref="W27" si="45">+SUM(J25:J27)+SUM(I28:I36)</f>
        <v>174.6808</v>
      </c>
      <c r="X27" s="37">
        <f t="shared" ref="X27" si="46">+SUM(K25:K27)+SUM(J28:J36)</f>
        <v>180.4676</v>
      </c>
      <c r="Y27" s="78">
        <f t="shared" si="40"/>
        <v>3.3127853776717231E-2</v>
      </c>
      <c r="Z27" s="7">
        <f t="shared" si="41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38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47">+SUM(C25:C28)+SUM(B29:B36)</f>
        <v>207.111988</v>
      </c>
      <c r="Q28" s="6">
        <f t="shared" si="47"/>
        <v>190.23070000000001</v>
      </c>
      <c r="R28" s="6">
        <f t="shared" si="47"/>
        <v>201.12279999999998</v>
      </c>
      <c r="S28" s="6">
        <f t="shared" si="47"/>
        <v>219.9211</v>
      </c>
      <c r="T28" s="6">
        <f t="shared" si="47"/>
        <v>265.22429999999997</v>
      </c>
      <c r="U28" s="6">
        <f t="shared" si="47"/>
        <v>255.30599999999998</v>
      </c>
      <c r="V28" s="6">
        <f t="shared" si="47"/>
        <v>207.16219999999996</v>
      </c>
      <c r="W28" s="67">
        <f t="shared" ref="W28" si="48">+SUM(J25:J28)+SUM(I29:I36)</f>
        <v>177.76429999999999</v>
      </c>
      <c r="X28" s="37">
        <f t="shared" ref="X28" si="49">+SUM(K25:K28)+SUM(J29:J36)</f>
        <v>178.17830000000001</v>
      </c>
      <c r="Y28" s="78">
        <f t="shared" si="40"/>
        <v>2.3289265617449928E-3</v>
      </c>
      <c r="Z28" s="7">
        <f t="shared" si="41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38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50">+SUM(C25:C29)+SUM(B30:B36)</f>
        <v>204.71651</v>
      </c>
      <c r="Q29" s="6">
        <f t="shared" si="50"/>
        <v>190.465</v>
      </c>
      <c r="R29" s="6">
        <f t="shared" si="50"/>
        <v>203.6422</v>
      </c>
      <c r="S29" s="6">
        <f t="shared" si="50"/>
        <v>223.1789</v>
      </c>
      <c r="T29" s="6">
        <f t="shared" si="50"/>
        <v>266.03710000000001</v>
      </c>
      <c r="U29" s="6">
        <f t="shared" si="50"/>
        <v>251.99490000000003</v>
      </c>
      <c r="V29" s="6">
        <f t="shared" si="50"/>
        <v>204.26420000000002</v>
      </c>
      <c r="W29" s="67">
        <f t="shared" ref="W29" si="51">+SUM(J25:J29)+SUM(I30:I36)</f>
        <v>177.11019999999999</v>
      </c>
      <c r="X29" s="37">
        <f t="shared" ref="X29" si="52">+SUM(K25:K29)+SUM(J30:J36)</f>
        <v>176.84559999999999</v>
      </c>
      <c r="Y29" s="78">
        <f t="shared" si="40"/>
        <v>-1.4939851008016758E-3</v>
      </c>
      <c r="Z29" s="7">
        <f t="shared" si="41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38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53">+SUM(C25:C30)+SUM(B31:B36)</f>
        <v>206.3612</v>
      </c>
      <c r="Q30" s="6">
        <f t="shared" si="53"/>
        <v>187.52120000000002</v>
      </c>
      <c r="R30" s="6">
        <f t="shared" si="53"/>
        <v>203.61880000000002</v>
      </c>
      <c r="S30" s="6">
        <f t="shared" si="53"/>
        <v>229.2089</v>
      </c>
      <c r="T30" s="6">
        <f t="shared" si="53"/>
        <v>268.43119999999999</v>
      </c>
      <c r="U30" s="6">
        <f t="shared" si="53"/>
        <v>250.96310000000003</v>
      </c>
      <c r="V30" s="6">
        <f t="shared" si="53"/>
        <v>195.73259999999999</v>
      </c>
      <c r="W30" s="67">
        <f t="shared" ref="W30" si="54">+SUM(J25:J30)+SUM(I31:I36)</f>
        <v>174.53059999999999</v>
      </c>
      <c r="X30" s="37">
        <f t="shared" ref="X30" si="55">+SUM(K25:K30)+SUM(J31:J36)</f>
        <v>179.40359999999998</v>
      </c>
      <c r="Y30" s="78">
        <f t="shared" si="40"/>
        <v>2.7920605326515746E-2</v>
      </c>
      <c r="Z30" s="7">
        <f t="shared" si="41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56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57">+SUM(C25:C31)+SUM(B32:B36)</f>
        <v>207.08420000000001</v>
      </c>
      <c r="Q31" s="6">
        <f t="shared" si="57"/>
        <v>189.78700000000003</v>
      </c>
      <c r="R31" s="6">
        <f t="shared" si="57"/>
        <v>203.10489999999999</v>
      </c>
      <c r="S31" s="6">
        <f t="shared" si="57"/>
        <v>236.33259999999999</v>
      </c>
      <c r="T31" s="6">
        <f t="shared" si="57"/>
        <v>265.46980000000002</v>
      </c>
      <c r="U31" s="6">
        <f t="shared" si="57"/>
        <v>244.39139999999998</v>
      </c>
      <c r="V31" s="6">
        <f t="shared" si="57"/>
        <v>194.86930000000001</v>
      </c>
      <c r="W31" s="67">
        <f t="shared" ref="W31" si="58">+SUM(J25:J31)+SUM(I32:I36)</f>
        <v>179.87259999999998</v>
      </c>
      <c r="X31" s="37">
        <f t="shared" ref="X31" si="59">+SUM(K25:K31)+SUM(J32:J36)</f>
        <v>174.44589999999999</v>
      </c>
      <c r="Y31" s="78">
        <f t="shared" si="40"/>
        <v>-3.0169686767189563E-2</v>
      </c>
      <c r="Z31" s="7">
        <f t="shared" si="41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/>
      <c r="L32" s="7"/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60">+SUM(C25:C32)+SUM(B33:B36)</f>
        <v>203.96719999999999</v>
      </c>
      <c r="Q32" s="6">
        <f t="shared" si="60"/>
        <v>188.6669</v>
      </c>
      <c r="R32" s="6">
        <f t="shared" si="60"/>
        <v>205.08080000000001</v>
      </c>
      <c r="S32" s="6">
        <f t="shared" si="60"/>
        <v>239.38669999999999</v>
      </c>
      <c r="T32" s="6">
        <f t="shared" si="60"/>
        <v>262.5702</v>
      </c>
      <c r="U32" s="6">
        <f t="shared" si="60"/>
        <v>244.72399999999999</v>
      </c>
      <c r="V32" s="6">
        <f t="shared" si="60"/>
        <v>189.76339999999999</v>
      </c>
      <c r="W32" s="67">
        <f t="shared" ref="W32" si="61">+SUM(J25:J32)+SUM(I33:I36)</f>
        <v>181.2886</v>
      </c>
      <c r="X32" s="37"/>
      <c r="Y32" s="78"/>
      <c r="Z32" s="7"/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/>
      <c r="L33" s="7"/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62">+SUM(C25:C33)+SUM(B34:B36)</f>
        <v>200.82980000000001</v>
      </c>
      <c r="Q33" s="6">
        <f t="shared" si="62"/>
        <v>187.68700000000001</v>
      </c>
      <c r="R33" s="6">
        <f t="shared" si="62"/>
        <v>206.2047</v>
      </c>
      <c r="S33" s="6">
        <f t="shared" si="62"/>
        <v>247.44519999999997</v>
      </c>
      <c r="T33" s="6">
        <f t="shared" si="62"/>
        <v>260.88780000000003</v>
      </c>
      <c r="U33" s="6">
        <f t="shared" si="62"/>
        <v>243.73650000000004</v>
      </c>
      <c r="V33" s="6">
        <f t="shared" si="62"/>
        <v>184.76069999999999</v>
      </c>
      <c r="W33" s="67">
        <f t="shared" ref="W33" si="63">+SUM(J25:J33)+SUM(I34:I36)</f>
        <v>180.21360000000001</v>
      </c>
      <c r="X33" s="37"/>
      <c r="Y33" s="78"/>
      <c r="Z33" s="7"/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64">+SUM(C25:C34)+SUM(B35:B36)</f>
        <v>198.90010000000001</v>
      </c>
      <c r="Q34" s="6">
        <f t="shared" si="64"/>
        <v>188.67710000000002</v>
      </c>
      <c r="R34" s="6">
        <f t="shared" si="64"/>
        <v>208.31850000000003</v>
      </c>
      <c r="S34" s="6">
        <f t="shared" si="64"/>
        <v>251.43389999999999</v>
      </c>
      <c r="T34" s="6">
        <f t="shared" si="64"/>
        <v>257.40940000000001</v>
      </c>
      <c r="U34" s="6">
        <f t="shared" si="64"/>
        <v>239.81730000000002</v>
      </c>
      <c r="V34" s="6">
        <f t="shared" si="64"/>
        <v>182.68899999999999</v>
      </c>
      <c r="W34" s="67">
        <f t="shared" ref="W34" si="65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66">+SUM(C25:C35)+SUM(B36)</f>
        <v>198.32160000000002</v>
      </c>
      <c r="Q35" s="6">
        <f t="shared" si="66"/>
        <v>189.83440000000004</v>
      </c>
      <c r="R35" s="6">
        <f t="shared" si="66"/>
        <v>209.33080000000001</v>
      </c>
      <c r="S35" s="6">
        <f t="shared" si="66"/>
        <v>255.55369999999999</v>
      </c>
      <c r="T35" s="6">
        <f t="shared" si="66"/>
        <v>258.66900000000004</v>
      </c>
      <c r="U35" s="6">
        <f t="shared" si="66"/>
        <v>233.30220000000003</v>
      </c>
      <c r="V35" s="6">
        <f t="shared" si="66"/>
        <v>180.5617</v>
      </c>
      <c r="W35" s="67">
        <f t="shared" ref="W35" si="67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68">+SUM(C25:C36)</f>
        <v>194.32600000000002</v>
      </c>
      <c r="Q36" s="6">
        <f t="shared" si="68"/>
        <v>191.70300000000003</v>
      </c>
      <c r="R36" s="6">
        <f t="shared" si="68"/>
        <v>211.08090000000001</v>
      </c>
      <c r="S36" s="6">
        <f t="shared" si="68"/>
        <v>256.32260000000002</v>
      </c>
      <c r="T36" s="6">
        <f t="shared" si="68"/>
        <v>262.1601</v>
      </c>
      <c r="U36" s="6">
        <f t="shared" si="68"/>
        <v>225.5866</v>
      </c>
      <c r="V36" s="6">
        <f t="shared" si="68"/>
        <v>180.39320000000001</v>
      </c>
      <c r="W36" s="67">
        <f t="shared" ref="W36" si="69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70">SUM(G25:G36)</f>
        <v>262.1601</v>
      </c>
      <c r="H37" s="159">
        <f t="shared" ref="H37" si="71">SUM(H25:H36)</f>
        <v>225.5866</v>
      </c>
      <c r="I37" s="159">
        <f t="shared" ref="I37:J37" si="72">SUM(I25:I36)</f>
        <v>180.39320000000001</v>
      </c>
      <c r="J37" s="216">
        <f t="shared" si="72"/>
        <v>182.86240000000001</v>
      </c>
      <c r="K37" s="216"/>
      <c r="L37" s="56"/>
      <c r="M37" s="3"/>
      <c r="N37" s="43" t="s">
        <v>14</v>
      </c>
      <c r="O37" s="46">
        <f t="shared" ref="O37:V37" si="73">+AVERAGE(O25:O36)</f>
        <v>216.08199108333329</v>
      </c>
      <c r="P37" s="46">
        <f t="shared" si="73"/>
        <v>205.42225550000003</v>
      </c>
      <c r="Q37" s="46">
        <f t="shared" si="73"/>
        <v>189.80183333333335</v>
      </c>
      <c r="R37" s="46">
        <f t="shared" si="73"/>
        <v>203.39385833333336</v>
      </c>
      <c r="S37" s="46">
        <f t="shared" si="73"/>
        <v>233.90785833333334</v>
      </c>
      <c r="T37" s="46">
        <f t="shared" si="73"/>
        <v>262.03105833333331</v>
      </c>
      <c r="U37" s="226">
        <f t="shared" si="73"/>
        <v>246.6636666666667</v>
      </c>
      <c r="V37" s="226">
        <f t="shared" si="73"/>
        <v>198.1714666666667</v>
      </c>
      <c r="W37" s="220">
        <f t="shared" ref="W37:X37" si="74">+AVERAGE(W25:W36)</f>
        <v>179.22853333333333</v>
      </c>
      <c r="X37" s="220">
        <f t="shared" si="74"/>
        <v>178.69644285714284</v>
      </c>
      <c r="Y37" s="79">
        <f>+X37/W37-1</f>
        <v>-2.9687821815786997E-3</v>
      </c>
      <c r="Z37" s="75">
        <f>+POWER(X37/S37,0.2)-1</f>
        <v>-5.2423636680852037E-2</v>
      </c>
    </row>
    <row r="38" spans="1:26" ht="25.5" x14ac:dyDescent="0.25">
      <c r="A38" s="57" t="s">
        <v>15</v>
      </c>
      <c r="B38" s="195">
        <f t="shared" ref="B38:G38" si="75">+B37/B$73</f>
        <v>0.83798867713469483</v>
      </c>
      <c r="C38" s="58">
        <f t="shared" si="75"/>
        <v>0.87039559404949451</v>
      </c>
      <c r="D38" s="58">
        <f t="shared" si="75"/>
        <v>0.69619752089286224</v>
      </c>
      <c r="E38" s="58">
        <f t="shared" si="75"/>
        <v>0.67551940653882592</v>
      </c>
      <c r="F38" s="58">
        <f t="shared" si="75"/>
        <v>0.64916071148629495</v>
      </c>
      <c r="G38" s="58">
        <f t="shared" si="75"/>
        <v>0.77955210859011626</v>
      </c>
      <c r="H38" s="58">
        <f t="shared" ref="H38" si="76">+H37/H$73</f>
        <v>0.85041624240715274</v>
      </c>
      <c r="I38" s="58">
        <f t="shared" ref="I38:J38" si="77">+I37/I$73</f>
        <v>0.88977080139606546</v>
      </c>
      <c r="J38" s="189">
        <f t="shared" si="77"/>
        <v>0.86976275185023133</v>
      </c>
      <c r="K38" s="188"/>
      <c r="L38" s="59"/>
      <c r="M38" s="3"/>
      <c r="N38" s="44" t="s">
        <v>15</v>
      </c>
      <c r="O38" s="48">
        <f t="shared" ref="O38:V38" si="78">+O37/O$73</f>
        <v>0.84144658722436672</v>
      </c>
      <c r="P38" s="48">
        <f t="shared" si="78"/>
        <v>0.85565844106519107</v>
      </c>
      <c r="Q38" s="48">
        <f t="shared" si="78"/>
        <v>0.79981127220841064</v>
      </c>
      <c r="R38" s="48">
        <f t="shared" si="78"/>
        <v>0.67824813287862373</v>
      </c>
      <c r="S38" s="48">
        <f t="shared" si="78"/>
        <v>0.61754226655170741</v>
      </c>
      <c r="T38" s="48">
        <f t="shared" si="78"/>
        <v>0.74177676090707223</v>
      </c>
      <c r="U38" s="58">
        <f t="shared" si="78"/>
        <v>0.82085719221217801</v>
      </c>
      <c r="V38" s="58">
        <f t="shared" si="78"/>
        <v>0.8742932109872098</v>
      </c>
      <c r="W38" s="189">
        <f t="shared" ref="W38:X38" si="79">+W37/W$73</f>
        <v>0.87835412905086241</v>
      </c>
      <c r="X38" s="189">
        <f t="shared" si="79"/>
        <v>0.86659198867595488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80">+D37/C37-1</f>
        <v>-1.3497936457293358E-2</v>
      </c>
      <c r="E39" s="62">
        <f t="shared" si="80"/>
        <v>0.10108292514984107</v>
      </c>
      <c r="F39" s="62">
        <f t="shared" si="80"/>
        <v>0.21433346172012735</v>
      </c>
      <c r="G39" s="62">
        <f t="shared" si="80"/>
        <v>2.2774035531786696E-2</v>
      </c>
      <c r="H39" s="62">
        <f t="shared" si="80"/>
        <v>-0.13950826231756852</v>
      </c>
      <c r="I39" s="62">
        <f t="shared" si="80"/>
        <v>-0.20033725407448844</v>
      </c>
      <c r="J39" s="190">
        <f t="shared" si="80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81">+Q37/P37-1</f>
        <v>-7.6040554265390581E-2</v>
      </c>
      <c r="R39" s="50">
        <f t="shared" si="81"/>
        <v>7.1611663392784353E-2</v>
      </c>
      <c r="S39" s="50">
        <f t="shared" si="81"/>
        <v>0.15002419566667502</v>
      </c>
      <c r="T39" s="50">
        <f t="shared" ref="T39" si="82">+T37/S37-1</f>
        <v>0.1202319588592986</v>
      </c>
      <c r="U39" s="62">
        <f t="shared" ref="U39" si="83">+U37/T37-1</f>
        <v>-5.8647214434853545E-2</v>
      </c>
      <c r="V39" s="62">
        <f t="shared" ref="V39:X39" si="84">+V37/U37-1</f>
        <v>-0.19659239098853898</v>
      </c>
      <c r="W39" s="190">
        <f t="shared" si="84"/>
        <v>-9.5588601386274452E-2</v>
      </c>
      <c r="X39" s="190">
        <f t="shared" si="84"/>
        <v>-2.9687821815786997E-3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86">+P42+1</f>
        <v>2018</v>
      </c>
      <c r="R42" s="64">
        <f t="shared" si="86"/>
        <v>2019</v>
      </c>
      <c r="S42" s="64">
        <f t="shared" si="86"/>
        <v>2020</v>
      </c>
      <c r="T42" s="64">
        <f t="shared" ref="T42" si="87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88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89">+SUM(C43)+SUM(B44:B54)</f>
        <v>3.1496399999999998</v>
      </c>
      <c r="Q43" s="6">
        <f t="shared" si="89"/>
        <v>3.2304000000000004</v>
      </c>
      <c r="R43" s="6">
        <f t="shared" si="89"/>
        <v>3.5172999999999996</v>
      </c>
      <c r="S43" s="6">
        <f t="shared" si="89"/>
        <v>3.2462</v>
      </c>
      <c r="T43" s="6">
        <f t="shared" si="89"/>
        <v>3.0320000000000005</v>
      </c>
      <c r="U43" s="6">
        <f t="shared" si="89"/>
        <v>4.3163999999999998</v>
      </c>
      <c r="V43" s="6">
        <f t="shared" si="89"/>
        <v>6.1757000000000009</v>
      </c>
      <c r="W43" s="67">
        <f t="shared" si="89"/>
        <v>4.2975000000000003</v>
      </c>
      <c r="X43" s="37">
        <f>+SUM(K43)+SUM(J44:J54)</f>
        <v>5.1043999999999992</v>
      </c>
      <c r="Y43" s="78">
        <f t="shared" ref="Y43:Y49" si="90">+X43/W43-1</f>
        <v>0.18776032577079671</v>
      </c>
      <c r="Z43" s="7">
        <f t="shared" ref="Z43:Z49" si="91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88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92">+SUM(C43:C44)+SUM(B45:B54)</f>
        <v>3.1580159999999995</v>
      </c>
      <c r="Q44" s="6">
        <f t="shared" si="92"/>
        <v>3.2027000000000005</v>
      </c>
      <c r="R44" s="6">
        <f t="shared" si="92"/>
        <v>3.54</v>
      </c>
      <c r="S44" s="6">
        <f t="shared" si="92"/>
        <v>3.2768000000000002</v>
      </c>
      <c r="T44" s="6">
        <f t="shared" si="92"/>
        <v>3.0412999999999997</v>
      </c>
      <c r="U44" s="6">
        <f t="shared" si="92"/>
        <v>4.3353999999999999</v>
      </c>
      <c r="V44" s="6">
        <f t="shared" si="92"/>
        <v>6.339599999999999</v>
      </c>
      <c r="W44" s="67">
        <f t="shared" si="92"/>
        <v>4.1048000000000009</v>
      </c>
      <c r="X44" s="37">
        <f t="shared" ref="X44" si="93">+SUM(K43:K44)+SUM(J45:J54)</f>
        <v>5.2447999999999997</v>
      </c>
      <c r="Y44" s="78">
        <f t="shared" si="90"/>
        <v>0.27772364061586408</v>
      </c>
      <c r="Z44" s="7">
        <f t="shared" si="91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88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94">+SUM(C43:C45)+SUM(B46:B54)</f>
        <v>3.2051509999999999</v>
      </c>
      <c r="Q45" s="6">
        <f t="shared" si="94"/>
        <v>3.2430000000000003</v>
      </c>
      <c r="R45" s="6">
        <f t="shared" si="94"/>
        <v>3.4514</v>
      </c>
      <c r="S45" s="6">
        <f t="shared" si="94"/>
        <v>3.2434000000000003</v>
      </c>
      <c r="T45" s="6">
        <f t="shared" si="94"/>
        <v>3.1282000000000001</v>
      </c>
      <c r="U45" s="6">
        <f t="shared" si="94"/>
        <v>4.5890000000000004</v>
      </c>
      <c r="V45" s="6">
        <f t="shared" si="94"/>
        <v>6.088099999999999</v>
      </c>
      <c r="W45" s="67">
        <f t="shared" ref="W45" si="95">+SUM(J43:J45)+SUM(I46:I54)</f>
        <v>4.2706</v>
      </c>
      <c r="X45" s="37">
        <f t="shared" ref="X45" si="96">+SUM(K43:K45)+SUM(J46:J54)</f>
        <v>5.1254999999999997</v>
      </c>
      <c r="Y45" s="78">
        <f t="shared" si="90"/>
        <v>0.20018264412494724</v>
      </c>
      <c r="Z45" s="7">
        <f t="shared" si="91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88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97">+SUM(C43:C46)+SUM(B47:B54)</f>
        <v>3.2375179999999997</v>
      </c>
      <c r="Q46" s="6">
        <f t="shared" si="97"/>
        <v>3.3452000000000006</v>
      </c>
      <c r="R46" s="6">
        <f t="shared" si="97"/>
        <v>3.3603999999999994</v>
      </c>
      <c r="S46" s="6">
        <f t="shared" si="97"/>
        <v>3.3224</v>
      </c>
      <c r="T46" s="6">
        <f t="shared" si="97"/>
        <v>3.0156999999999998</v>
      </c>
      <c r="U46" s="6">
        <f t="shared" si="97"/>
        <v>4.8224999999999998</v>
      </c>
      <c r="V46" s="6">
        <f t="shared" si="97"/>
        <v>5.8988999999999994</v>
      </c>
      <c r="W46" s="67">
        <f t="shared" ref="W46" si="98">+SUM(J43:J46)+SUM(I47:I54)</f>
        <v>4.4527000000000001</v>
      </c>
      <c r="X46" s="37">
        <f t="shared" ref="X46" si="99">+SUM(K43:K46)+SUM(J47:J54)</f>
        <v>5.0259999999999998</v>
      </c>
      <c r="Y46" s="78">
        <f t="shared" si="90"/>
        <v>0.1287533406697059</v>
      </c>
      <c r="Z46" s="7">
        <f t="shared" si="91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88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00">+SUM(C43:C47)+SUM(B48:B54)</f>
        <v>3.3534709999999999</v>
      </c>
      <c r="Q47" s="6">
        <f t="shared" si="100"/>
        <v>3.3656000000000001</v>
      </c>
      <c r="R47" s="6">
        <f t="shared" si="100"/>
        <v>3.2399</v>
      </c>
      <c r="S47" s="6">
        <f t="shared" si="100"/>
        <v>3.2913999999999999</v>
      </c>
      <c r="T47" s="6">
        <f t="shared" si="100"/>
        <v>3.0647000000000002</v>
      </c>
      <c r="U47" s="6">
        <f t="shared" si="100"/>
        <v>5.0191999999999997</v>
      </c>
      <c r="V47" s="6">
        <f t="shared" si="100"/>
        <v>5.6800000000000015</v>
      </c>
      <c r="W47" s="67">
        <f t="shared" ref="W47" si="101">+SUM(J43:J47)+SUM(I48:I54)</f>
        <v>4.7805</v>
      </c>
      <c r="X47" s="37">
        <f t="shared" ref="X47" si="102">+SUM(K43:K47)+SUM(J48:J54)</f>
        <v>4.9092000000000002</v>
      </c>
      <c r="Y47" s="78">
        <f t="shared" si="90"/>
        <v>2.6921870097270206E-2</v>
      </c>
      <c r="Z47" s="7">
        <f t="shared" si="91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88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03">+SUM(C43:C48)+SUM(B49:B54)</f>
        <v>3.4413299999999998</v>
      </c>
      <c r="Q48" s="6">
        <f t="shared" si="103"/>
        <v>3.3334000000000001</v>
      </c>
      <c r="R48" s="6">
        <f t="shared" si="103"/>
        <v>3.2820999999999998</v>
      </c>
      <c r="S48" s="6">
        <f t="shared" si="103"/>
        <v>3.1452999999999998</v>
      </c>
      <c r="T48" s="6">
        <f t="shared" si="103"/>
        <v>3.2317999999999998</v>
      </c>
      <c r="U48" s="6">
        <f t="shared" si="103"/>
        <v>5.18</v>
      </c>
      <c r="V48" s="6">
        <f t="shared" si="103"/>
        <v>5.5455000000000005</v>
      </c>
      <c r="W48" s="67">
        <f t="shared" ref="W48" si="104">+SUM(J43:J48)+SUM(I49:I54)</f>
        <v>4.6814999999999998</v>
      </c>
      <c r="X48" s="37">
        <f t="shared" ref="X48" si="105">+SUM(K43:K48)+SUM(J49:J54)</f>
        <v>5.0728</v>
      </c>
      <c r="Y48" s="78">
        <f t="shared" si="90"/>
        <v>8.3584321264551953E-2</v>
      </c>
      <c r="Z48" s="7">
        <f t="shared" si="91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06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07">+SUM(C43:C49)+SUM(B50:B54)</f>
        <v>3.412652</v>
      </c>
      <c r="Q49" s="6">
        <f t="shared" si="107"/>
        <v>3.4478000000000004</v>
      </c>
      <c r="R49" s="6">
        <f t="shared" si="107"/>
        <v>3.2639</v>
      </c>
      <c r="S49" s="6">
        <f t="shared" si="107"/>
        <v>3.0648999999999997</v>
      </c>
      <c r="T49" s="6">
        <f t="shared" si="107"/>
        <v>3.3654999999999999</v>
      </c>
      <c r="U49" s="6">
        <f t="shared" si="107"/>
        <v>5.313600000000001</v>
      </c>
      <c r="V49" s="6">
        <f t="shared" si="107"/>
        <v>5.5594999999999999</v>
      </c>
      <c r="W49" s="67">
        <f t="shared" ref="W49" si="108">+SUM(J43:J49)+SUM(I50:I54)</f>
        <v>4.7568999999999999</v>
      </c>
      <c r="X49" s="37">
        <f t="shared" ref="X49" si="109">+SUM(K43:K49)+SUM(J50:J54)</f>
        <v>5.1417999999999999</v>
      </c>
      <c r="Y49" s="78">
        <f t="shared" si="90"/>
        <v>8.0914040656730135E-2</v>
      </c>
      <c r="Z49" s="7">
        <f t="shared" si="91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/>
      <c r="L50" s="7"/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10">+SUM(C43:C50)+SUM(B51:B54)</f>
        <v>3.334695</v>
      </c>
      <c r="Q50" s="6">
        <f t="shared" si="110"/>
        <v>3.4789000000000003</v>
      </c>
      <c r="R50" s="6">
        <f t="shared" si="110"/>
        <v>3.1905999999999999</v>
      </c>
      <c r="S50" s="6">
        <f t="shared" si="110"/>
        <v>2.9558999999999997</v>
      </c>
      <c r="T50" s="6">
        <f t="shared" si="110"/>
        <v>3.6534</v>
      </c>
      <c r="U50" s="6">
        <f t="shared" si="110"/>
        <v>5.5571000000000002</v>
      </c>
      <c r="V50" s="6">
        <f t="shared" si="110"/>
        <v>5.1516000000000002</v>
      </c>
      <c r="W50" s="67">
        <f t="shared" ref="W50" si="111">+SUM(J43:J50)+SUM(I51:I54)</f>
        <v>5.1053999999999995</v>
      </c>
      <c r="X50" s="37"/>
      <c r="Y50" s="78"/>
      <c r="Z50" s="7"/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/>
      <c r="L51" s="7"/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12">+SUM(C43:C51)+SUM(B52:B54)</f>
        <v>3.4314</v>
      </c>
      <c r="Q51" s="6">
        <f t="shared" si="112"/>
        <v>3.4323000000000001</v>
      </c>
      <c r="R51" s="6">
        <f t="shared" si="112"/>
        <v>3.2154000000000003</v>
      </c>
      <c r="S51" s="6">
        <f t="shared" si="112"/>
        <v>2.9375</v>
      </c>
      <c r="T51" s="6">
        <f t="shared" si="112"/>
        <v>3.9540999999999999</v>
      </c>
      <c r="U51" s="6">
        <f t="shared" si="112"/>
        <v>5.783100000000001</v>
      </c>
      <c r="V51" s="6">
        <f t="shared" si="112"/>
        <v>4.8765000000000001</v>
      </c>
      <c r="W51" s="67">
        <f t="shared" ref="W51" si="113">+SUM(J43:J51)+SUM(I52:I54)</f>
        <v>5.0068999999999999</v>
      </c>
      <c r="X51" s="37"/>
      <c r="Y51" s="78"/>
      <c r="Z51" s="7"/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14">+SUM(C43:C52)+SUM(B53:B54)</f>
        <v>3.4272</v>
      </c>
      <c r="Q52" s="6">
        <f t="shared" si="114"/>
        <v>3.4116000000000004</v>
      </c>
      <c r="R52" s="6">
        <f t="shared" si="114"/>
        <v>3.3214000000000001</v>
      </c>
      <c r="S52" s="6">
        <f t="shared" si="114"/>
        <v>2.9381999999999997</v>
      </c>
      <c r="T52" s="6">
        <f t="shared" si="114"/>
        <v>3.9507000000000003</v>
      </c>
      <c r="U52" s="6">
        <f t="shared" si="114"/>
        <v>6.0502000000000011</v>
      </c>
      <c r="V52" s="6">
        <f t="shared" si="114"/>
        <v>4.4618000000000002</v>
      </c>
      <c r="W52" s="67">
        <f t="shared" ref="W52" si="115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16">+SUM(C43:C53)+SUM(B54)</f>
        <v>3.3308999999999997</v>
      </c>
      <c r="Q53" s="6">
        <f t="shared" si="116"/>
        <v>3.4803000000000006</v>
      </c>
      <c r="R53" s="6">
        <f t="shared" si="116"/>
        <v>3.2614000000000001</v>
      </c>
      <c r="S53" s="6">
        <f t="shared" si="116"/>
        <v>3.0255999999999998</v>
      </c>
      <c r="T53" s="6">
        <f t="shared" si="116"/>
        <v>4.1664000000000003</v>
      </c>
      <c r="U53" s="6">
        <f t="shared" si="116"/>
        <v>6.0883000000000003</v>
      </c>
      <c r="V53" s="6">
        <f t="shared" si="116"/>
        <v>4.2617000000000003</v>
      </c>
      <c r="W53" s="67">
        <f t="shared" ref="W53" si="117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18">+SUM(C43:C54)</f>
        <v>3.2526000000000002</v>
      </c>
      <c r="Q54" s="6">
        <f t="shared" si="118"/>
        <v>3.4694000000000003</v>
      </c>
      <c r="R54" s="6">
        <f t="shared" si="118"/>
        <v>3.2695000000000003</v>
      </c>
      <c r="S54" s="6">
        <f t="shared" si="118"/>
        <v>2.9893999999999998</v>
      </c>
      <c r="T54" s="6">
        <f t="shared" si="118"/>
        <v>4.2552000000000003</v>
      </c>
      <c r="U54" s="6">
        <f t="shared" si="118"/>
        <v>6.0657000000000005</v>
      </c>
      <c r="V54" s="6">
        <f t="shared" si="118"/>
        <v>4.3748000000000005</v>
      </c>
      <c r="W54" s="67">
        <f t="shared" ref="W54" si="119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20">SUM(C43:C54)</f>
        <v>3.2526000000000002</v>
      </c>
      <c r="D55" s="159">
        <f t="shared" si="120"/>
        <v>3.4694000000000003</v>
      </c>
      <c r="E55" s="159">
        <f t="shared" si="120"/>
        <v>3.2695000000000003</v>
      </c>
      <c r="F55" s="159">
        <f t="shared" si="120"/>
        <v>2.9893999999999998</v>
      </c>
      <c r="G55" s="159">
        <f t="shared" si="120"/>
        <v>4.2552000000000003</v>
      </c>
      <c r="H55" s="159">
        <f t="shared" ref="H55" si="121">SUM(H43:H54)</f>
        <v>6.0657000000000005</v>
      </c>
      <c r="I55" s="159">
        <f t="shared" ref="I55:J55" si="122">SUM(I43:I54)</f>
        <v>4.3748000000000005</v>
      </c>
      <c r="J55" s="216">
        <f t="shared" si="122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23">+AVERAGE(Q43:Q54)</f>
        <v>3.3700500000000004</v>
      </c>
      <c r="R55" s="46">
        <f t="shared" si="123"/>
        <v>3.3261083333333334</v>
      </c>
      <c r="S55" s="46">
        <f t="shared" si="123"/>
        <v>3.1197499999999998</v>
      </c>
      <c r="T55" s="46">
        <f t="shared" si="123"/>
        <v>3.4882500000000007</v>
      </c>
      <c r="U55" s="226">
        <f t="shared" si="123"/>
        <v>5.2600416666666669</v>
      </c>
      <c r="V55" s="226">
        <f t="shared" si="123"/>
        <v>5.3678083333333335</v>
      </c>
      <c r="W55" s="220">
        <f t="shared" ref="W55:X55" si="124">+AVERAGE(W43:W54)</f>
        <v>4.7439083333333336</v>
      </c>
      <c r="X55" s="220">
        <f t="shared" si="124"/>
        <v>5.0892142857142852</v>
      </c>
      <c r="Y55" s="79">
        <f>+X55/W55-1</f>
        <v>7.2789339109830653E-2</v>
      </c>
      <c r="Z55" s="75">
        <f>+POWER(X55/S55,0.2)-1</f>
        <v>0.10282394934945338</v>
      </c>
    </row>
    <row r="56" spans="1:26" ht="25.5" x14ac:dyDescent="0.25">
      <c r="A56" s="57" t="s">
        <v>15</v>
      </c>
      <c r="B56" s="195">
        <f t="shared" ref="B56:G56" si="125">+B55/B$73</f>
        <v>1.2026493314271443E-2</v>
      </c>
      <c r="C56" s="58">
        <f t="shared" si="125"/>
        <v>1.4568553406159679E-2</v>
      </c>
      <c r="D56" s="58">
        <f t="shared" si="125"/>
        <v>1.2599634220568775E-2</v>
      </c>
      <c r="E56" s="58">
        <f t="shared" si="125"/>
        <v>1.0463337515041349E-2</v>
      </c>
      <c r="F56" s="58">
        <f t="shared" si="125"/>
        <v>7.5709322194653528E-3</v>
      </c>
      <c r="G56" s="58">
        <f t="shared" si="125"/>
        <v>1.2653146426449574E-2</v>
      </c>
      <c r="H56" s="58">
        <f t="shared" ref="H56" si="126">+H55/H$73</f>
        <v>2.2866472572258576E-2</v>
      </c>
      <c r="I56" s="58">
        <f t="shared" ref="I56:J56" si="127">+I55/I$73</f>
        <v>2.1578248525706663E-2</v>
      </c>
      <c r="J56" s="189">
        <f t="shared" si="127"/>
        <v>2.4630905043663553E-2</v>
      </c>
      <c r="K56" s="188"/>
      <c r="L56" s="59"/>
      <c r="M56" s="3"/>
      <c r="N56" s="44" t="s">
        <v>15</v>
      </c>
      <c r="O56" s="48">
        <f t="shared" ref="O56:V56" si="128">+O55/O$73</f>
        <v>1.2404901037875971E-2</v>
      </c>
      <c r="P56" s="48">
        <f t="shared" si="128"/>
        <v>1.3792412895581247E-2</v>
      </c>
      <c r="Q56" s="48">
        <f t="shared" si="128"/>
        <v>1.4201148274327984E-2</v>
      </c>
      <c r="R56" s="48">
        <f t="shared" si="128"/>
        <v>1.1091420288306956E-2</v>
      </c>
      <c r="S56" s="48">
        <f t="shared" si="128"/>
        <v>8.2364803807882143E-3</v>
      </c>
      <c r="T56" s="48">
        <f t="shared" si="128"/>
        <v>9.8747942426828557E-3</v>
      </c>
      <c r="U56" s="58">
        <f t="shared" si="128"/>
        <v>1.7504576542494699E-2</v>
      </c>
      <c r="V56" s="58">
        <f t="shared" si="128"/>
        <v>2.3681705861357955E-2</v>
      </c>
      <c r="W56" s="189">
        <f t="shared" ref="W56:X56" si="129">+W55/W$73</f>
        <v>2.3248705967328091E-2</v>
      </c>
      <c r="X56" s="189">
        <f t="shared" si="129"/>
        <v>2.4680246893224237E-2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30">+D55/C55-1</f>
        <v>6.6654368812642195E-2</v>
      </c>
      <c r="E57" s="62">
        <f t="shared" si="130"/>
        <v>-5.7618031936357839E-2</v>
      </c>
      <c r="F57" s="62">
        <f t="shared" si="130"/>
        <v>-8.5670591833613807E-2</v>
      </c>
      <c r="G57" s="62">
        <f t="shared" si="130"/>
        <v>0.42342945072589844</v>
      </c>
      <c r="H57" s="62">
        <f t="shared" si="130"/>
        <v>0.42547941342357598</v>
      </c>
      <c r="I57" s="62">
        <f t="shared" si="130"/>
        <v>-0.27876419869100022</v>
      </c>
      <c r="J57" s="190">
        <f t="shared" si="130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31">+Q55/P55-1</f>
        <v>1.776858153225902E-2</v>
      </c>
      <c r="R57" s="50">
        <f t="shared" si="131"/>
        <v>-1.3038876772352603E-2</v>
      </c>
      <c r="S57" s="50">
        <f t="shared" si="131"/>
        <v>-6.2041975982943143E-2</v>
      </c>
      <c r="T57" s="50">
        <f t="shared" ref="T57" si="132">+T55/S55-1</f>
        <v>0.11811843897748253</v>
      </c>
      <c r="U57" s="62">
        <f t="shared" ref="U57" si="133">+U55/T55-1</f>
        <v>0.50793138870971566</v>
      </c>
      <c r="V57" s="62">
        <f t="shared" ref="V57:X57" si="134">+V55/U55-1</f>
        <v>2.0487797149895792E-2</v>
      </c>
      <c r="W57" s="190">
        <f t="shared" si="134"/>
        <v>-0.11622993245225777</v>
      </c>
      <c r="X57" s="190">
        <f t="shared" si="134"/>
        <v>7.2789339109830653E-2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4" t="s">
        <v>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M59" s="2"/>
      <c r="N59" s="354" t="s">
        <v>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35">+C60+1</f>
        <v>2018</v>
      </c>
      <c r="E60" s="39">
        <f t="shared" si="135"/>
        <v>2019</v>
      </c>
      <c r="F60" s="39">
        <f t="shared" si="135"/>
        <v>2020</v>
      </c>
      <c r="G60" s="39">
        <f t="shared" si="13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36">+P60+1</f>
        <v>2018</v>
      </c>
      <c r="R60" s="64">
        <f t="shared" si="136"/>
        <v>2019</v>
      </c>
      <c r="S60" s="64">
        <f t="shared" si="136"/>
        <v>2020</v>
      </c>
      <c r="T60" s="64">
        <f t="shared" si="136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37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38">+SUM(C61)+SUM(B62:B72)</f>
        <v>260.89488699999993</v>
      </c>
      <c r="Q61" s="6">
        <f t="shared" si="138"/>
        <v>219.06549999999999</v>
      </c>
      <c r="R61" s="6">
        <f t="shared" si="138"/>
        <v>286.14440000000002</v>
      </c>
      <c r="S61" s="6">
        <f t="shared" si="138"/>
        <v>329.28129999999999</v>
      </c>
      <c r="T61" s="6">
        <f t="shared" si="138"/>
        <v>374.80109999999996</v>
      </c>
      <c r="U61" s="6">
        <f t="shared" si="138"/>
        <v>331.03659999999996</v>
      </c>
      <c r="V61" s="6">
        <f t="shared" si="138"/>
        <v>262.79939999999999</v>
      </c>
      <c r="W61" s="67">
        <f t="shared" si="138"/>
        <v>200.98949999999999</v>
      </c>
      <c r="X61" s="37">
        <f>+SUM(K61)+SUM(J62:J72)</f>
        <v>208.64839999999998</v>
      </c>
      <c r="Y61" s="78">
        <f t="shared" ref="Y61:Y67" si="139">+X61/W61-1</f>
        <v>3.8105970709912729E-2</v>
      </c>
      <c r="Z61" s="7">
        <f t="shared" ref="Z61:Z67" si="140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37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41">+SUM(C61:C62)+SUM(B63:B72)</f>
        <v>254.45828699999998</v>
      </c>
      <c r="Q62" s="6">
        <f t="shared" si="141"/>
        <v>220.55179999999999</v>
      </c>
      <c r="R62" s="6">
        <f t="shared" si="141"/>
        <v>291.57029999999997</v>
      </c>
      <c r="S62" s="6">
        <f t="shared" si="141"/>
        <v>350.65570000000002</v>
      </c>
      <c r="T62" s="6">
        <f t="shared" si="141"/>
        <v>358.67950000000008</v>
      </c>
      <c r="U62" s="6">
        <f t="shared" si="141"/>
        <v>327.07159999999999</v>
      </c>
      <c r="V62" s="6">
        <f t="shared" si="141"/>
        <v>256.1739</v>
      </c>
      <c r="W62" s="67">
        <f t="shared" si="141"/>
        <v>200.23029999999997</v>
      </c>
      <c r="X62" s="37">
        <f t="shared" ref="X62" si="142">+SUM(K61:K62)+SUM(J63:J72)</f>
        <v>208.81890000000001</v>
      </c>
      <c r="Y62" s="78">
        <f t="shared" si="139"/>
        <v>4.2893608010376338E-2</v>
      </c>
      <c r="Z62" s="7">
        <f t="shared" si="140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37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43">+SUM(C61:C63)+SUM(B64:B72)</f>
        <v>250.43008700000001</v>
      </c>
      <c r="Q63" s="6">
        <f t="shared" si="143"/>
        <v>220.4195</v>
      </c>
      <c r="R63" s="6">
        <f t="shared" si="143"/>
        <v>295.75329999999997</v>
      </c>
      <c r="S63" s="6">
        <f t="shared" si="143"/>
        <v>358.17239999999998</v>
      </c>
      <c r="T63" s="6">
        <f t="shared" si="143"/>
        <v>359.68440000000004</v>
      </c>
      <c r="U63" s="6">
        <f t="shared" si="143"/>
        <v>322.00600000000003</v>
      </c>
      <c r="V63" s="6">
        <f t="shared" si="143"/>
        <v>249.54640000000001</v>
      </c>
      <c r="W63" s="67">
        <f t="shared" ref="W63" si="144">+SUM(J61:J63)+SUM(I64:I72)</f>
        <v>196.63219999999998</v>
      </c>
      <c r="X63" s="37">
        <f t="shared" ref="X63" si="145">+SUM(K61:K63)+SUM(J64:J72)</f>
        <v>208.24199999999999</v>
      </c>
      <c r="Y63" s="78">
        <f t="shared" si="139"/>
        <v>5.9043228931985769E-2</v>
      </c>
      <c r="Z63" s="7">
        <f t="shared" si="140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37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46">+SUM(C61:C64)+SUM(B65:B72)</f>
        <v>245.31125700000001</v>
      </c>
      <c r="Q64" s="6">
        <f t="shared" si="146"/>
        <v>221.22529999999998</v>
      </c>
      <c r="R64" s="6">
        <f t="shared" si="146"/>
        <v>300.11070000000001</v>
      </c>
      <c r="S64" s="6">
        <f t="shared" si="146"/>
        <v>365.7414</v>
      </c>
      <c r="T64" s="6">
        <f t="shared" si="146"/>
        <v>360.92700000000002</v>
      </c>
      <c r="U64" s="6">
        <f t="shared" si="146"/>
        <v>315.93889999999999</v>
      </c>
      <c r="V64" s="6">
        <f t="shared" si="146"/>
        <v>239.41719999999998</v>
      </c>
      <c r="W64" s="67">
        <f t="shared" si="146"/>
        <v>201.11470000000003</v>
      </c>
      <c r="X64" s="37">
        <f>+SUM(K61:K64)+SUM(J65:J72)</f>
        <v>205.44740000000002</v>
      </c>
      <c r="Y64" s="78">
        <f t="shared" si="139"/>
        <v>2.1543427705682294E-2</v>
      </c>
      <c r="Z64" s="7">
        <f t="shared" si="140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37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47">+SUM(C61:C65)+SUM(B66:B72)</f>
        <v>239.940257</v>
      </c>
      <c r="Q65" s="6">
        <f t="shared" si="147"/>
        <v>223.10019999999997</v>
      </c>
      <c r="R65" s="6">
        <f t="shared" si="147"/>
        <v>303.75889999999998</v>
      </c>
      <c r="S65" s="6">
        <f t="shared" si="147"/>
        <v>374.46260000000001</v>
      </c>
      <c r="T65" s="6">
        <f t="shared" si="147"/>
        <v>359.70089999999999</v>
      </c>
      <c r="U65" s="6">
        <f t="shared" si="147"/>
        <v>308.56880000000001</v>
      </c>
      <c r="V65" s="6">
        <f t="shared" si="147"/>
        <v>233.35980000000001</v>
      </c>
      <c r="W65" s="67">
        <f t="shared" si="147"/>
        <v>201.9179</v>
      </c>
      <c r="X65" s="37">
        <f t="shared" ref="X65" si="148">+SUM(K61:K65)+SUM(J66:J72)</f>
        <v>203.62270000000001</v>
      </c>
      <c r="Y65" s="78">
        <f t="shared" si="139"/>
        <v>8.4430355109677002E-3</v>
      </c>
      <c r="Z65" s="7">
        <f t="shared" si="140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37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49">+SUM(C61:C66)+SUM(B67:B72)</f>
        <v>240.9622</v>
      </c>
      <c r="Q66" s="6">
        <f t="shared" si="149"/>
        <v>219.79519999999997</v>
      </c>
      <c r="R66" s="6">
        <f t="shared" si="149"/>
        <v>307.89009999999996</v>
      </c>
      <c r="S66" s="6">
        <f t="shared" si="149"/>
        <v>382.36559999999997</v>
      </c>
      <c r="T66" s="6">
        <f t="shared" si="149"/>
        <v>361.96379999999999</v>
      </c>
      <c r="U66" s="6">
        <f t="shared" si="149"/>
        <v>303.04369999999994</v>
      </c>
      <c r="V66" s="6">
        <f t="shared" si="149"/>
        <v>222.22970000000001</v>
      </c>
      <c r="W66" s="67">
        <f t="shared" ref="W66" si="150">+SUM(J61:J66)+SUM(I67:I72)</f>
        <v>199.4136</v>
      </c>
      <c r="X66" s="37">
        <f t="shared" ref="X66" si="151">+SUM(K61:K66)+SUM(J67:J72)</f>
        <v>206.92219999999998</v>
      </c>
      <c r="Y66" s="78">
        <f t="shared" si="139"/>
        <v>3.7653399768120099E-2</v>
      </c>
      <c r="Z66" s="7">
        <f t="shared" si="140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52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53">+SUM(C61:C67)+SUM(B68:B72)</f>
        <v>240.4366</v>
      </c>
      <c r="Q67" s="6">
        <f t="shared" si="153"/>
        <v>225.0582</v>
      </c>
      <c r="R67" s="6">
        <f t="shared" si="153"/>
        <v>309.47019999999998</v>
      </c>
      <c r="S67" s="6">
        <f t="shared" si="153"/>
        <v>390.5145</v>
      </c>
      <c r="T67" s="6">
        <f t="shared" si="153"/>
        <v>355.38679999999999</v>
      </c>
      <c r="U67" s="6">
        <f t="shared" si="153"/>
        <v>294.41570000000002</v>
      </c>
      <c r="V67" s="6">
        <f t="shared" si="153"/>
        <v>220.61850000000001</v>
      </c>
      <c r="W67" s="67">
        <f t="shared" ref="W67" si="154">+SUM(J61:J67)+SUM(I68:I72)</f>
        <v>205.95840000000001</v>
      </c>
      <c r="X67" s="37">
        <f t="shared" ref="X67" si="155">+SUM(K61:K67)+SUM(J68:J72)</f>
        <v>201.74020000000002</v>
      </c>
      <c r="Y67" s="78">
        <f t="shared" si="139"/>
        <v>-2.0480834964730743E-2</v>
      </c>
      <c r="Z67" s="7">
        <f t="shared" si="140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/>
      <c r="L68" s="7"/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56">+SUM(C61:C68)+SUM(B69:B72)</f>
        <v>235.73749999999998</v>
      </c>
      <c r="Q68" s="6">
        <f t="shared" si="156"/>
        <v>236.99679999999998</v>
      </c>
      <c r="R68" s="6">
        <f t="shared" si="156"/>
        <v>303.77679999999998</v>
      </c>
      <c r="S68" s="6">
        <f t="shared" si="156"/>
        <v>392.99780000000004</v>
      </c>
      <c r="T68" s="6">
        <f t="shared" si="156"/>
        <v>350.04909999999995</v>
      </c>
      <c r="U68" s="6">
        <f t="shared" si="156"/>
        <v>292.29589999999996</v>
      </c>
      <c r="V68" s="6">
        <f t="shared" si="156"/>
        <v>214.1026</v>
      </c>
      <c r="W68" s="67">
        <f t="shared" ref="W68" si="157">+SUM(J61:J68)+SUM(I69:I72)</f>
        <v>208.03269999999998</v>
      </c>
      <c r="X68" s="37"/>
      <c r="Y68" s="78"/>
      <c r="Z68" s="7"/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/>
      <c r="L69" s="7"/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58">+SUM(C61:C69)+SUM(B70:B72)</f>
        <v>232.1129</v>
      </c>
      <c r="Q69" s="6">
        <f t="shared" si="158"/>
        <v>251.20709999999997</v>
      </c>
      <c r="R69" s="6">
        <f t="shared" si="158"/>
        <v>296.08389999999997</v>
      </c>
      <c r="S69" s="6">
        <f t="shared" si="158"/>
        <v>400.00350000000009</v>
      </c>
      <c r="T69" s="6">
        <f t="shared" si="158"/>
        <v>345.4171</v>
      </c>
      <c r="U69" s="6">
        <f t="shared" si="158"/>
        <v>289.21140000000003</v>
      </c>
      <c r="V69" s="6">
        <f t="shared" si="158"/>
        <v>208.78930000000003</v>
      </c>
      <c r="W69" s="67">
        <f t="shared" ref="W69" si="159">+SUM(J61:J69)+SUM(I70:I72)</f>
        <v>206.50899999999999</v>
      </c>
      <c r="X69" s="37"/>
      <c r="Y69" s="78"/>
      <c r="Z69" s="7"/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60">+SUM(C61:C70)+SUM(B71:B72)</f>
        <v>229.12090000000001</v>
      </c>
      <c r="Q70" s="6">
        <f t="shared" si="160"/>
        <v>264.60679999999996</v>
      </c>
      <c r="R70" s="6">
        <f t="shared" si="160"/>
        <v>294.01409999999998</v>
      </c>
      <c r="S70" s="6">
        <f t="shared" si="160"/>
        <v>400.43740000000003</v>
      </c>
      <c r="T70" s="6">
        <f t="shared" si="160"/>
        <v>339.65570000000002</v>
      </c>
      <c r="U70" s="6">
        <f t="shared" si="160"/>
        <v>283.4393</v>
      </c>
      <c r="V70" s="6">
        <f t="shared" si="160"/>
        <v>206.57740000000001</v>
      </c>
      <c r="W70" s="67">
        <f t="shared" ref="W70" si="161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62">+SUM(C61:C71)+SUM(B72)</f>
        <v>228.23419999999999</v>
      </c>
      <c r="Q71" s="6">
        <f t="shared" si="162"/>
        <v>270.31569999999999</v>
      </c>
      <c r="R71" s="6">
        <f t="shared" si="162"/>
        <v>297.52959999999996</v>
      </c>
      <c r="S71" s="6">
        <f t="shared" si="162"/>
        <v>405.78220000000005</v>
      </c>
      <c r="T71" s="6">
        <f t="shared" si="162"/>
        <v>336.41320000000002</v>
      </c>
      <c r="U71" s="6">
        <f t="shared" si="162"/>
        <v>273.64870000000002</v>
      </c>
      <c r="V71" s="6">
        <f t="shared" si="162"/>
        <v>203.62180000000001</v>
      </c>
      <c r="W71" s="67">
        <f t="shared" ref="W71" si="163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64">+SUM(C61:C72)</f>
        <v>223.26169999999999</v>
      </c>
      <c r="Q72" s="6">
        <f t="shared" si="164"/>
        <v>275.35719999999998</v>
      </c>
      <c r="R72" s="6">
        <f t="shared" si="164"/>
        <v>312.47199999999998</v>
      </c>
      <c r="S72" s="6">
        <f t="shared" si="164"/>
        <v>394.85230000000007</v>
      </c>
      <c r="T72" s="6">
        <f t="shared" si="164"/>
        <v>336.29579999999999</v>
      </c>
      <c r="U72" s="6">
        <f t="shared" si="164"/>
        <v>265.26609999999999</v>
      </c>
      <c r="V72" s="6">
        <f t="shared" si="164"/>
        <v>202.74120000000002</v>
      </c>
      <c r="W72" s="67">
        <f t="shared" ref="W72" si="165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66">SUM(C61:C72)</f>
        <v>223.26169999999999</v>
      </c>
      <c r="D73" s="54">
        <f t="shared" si="166"/>
        <v>275.35719999999998</v>
      </c>
      <c r="E73" s="54">
        <f t="shared" si="166"/>
        <v>312.47199999999998</v>
      </c>
      <c r="F73" s="54">
        <f t="shared" si="166"/>
        <v>394.85230000000007</v>
      </c>
      <c r="G73" s="54">
        <f t="shared" si="166"/>
        <v>336.29579999999999</v>
      </c>
      <c r="H73" s="54">
        <f t="shared" ref="H73:I73" si="167">SUM(H61:H72)</f>
        <v>265.26609999999999</v>
      </c>
      <c r="I73" s="54">
        <f t="shared" si="167"/>
        <v>202.74120000000002</v>
      </c>
      <c r="J73" s="186">
        <f t="shared" ref="J73" si="168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69">+AVERAGE(Q61:Q72)</f>
        <v>237.30827499999998</v>
      </c>
      <c r="R73" s="46">
        <f t="shared" si="169"/>
        <v>299.88119166666667</v>
      </c>
      <c r="S73" s="46">
        <f t="shared" si="169"/>
        <v>378.77222500000011</v>
      </c>
      <c r="T73" s="46">
        <f t="shared" si="169"/>
        <v>353.24786666666665</v>
      </c>
      <c r="U73" s="226">
        <f t="shared" si="169"/>
        <v>300.495225</v>
      </c>
      <c r="V73" s="226">
        <f t="shared" si="169"/>
        <v>226.66476666666668</v>
      </c>
      <c r="W73" s="220">
        <f t="shared" ref="W73:X73" si="170">+AVERAGE(W61:W72)</f>
        <v>204.05042500000002</v>
      </c>
      <c r="X73" s="197">
        <f t="shared" si="170"/>
        <v>206.20597142857142</v>
      </c>
      <c r="Y73" s="79">
        <f>+X73/W73-1</f>
        <v>1.056379288879894E-2</v>
      </c>
      <c r="Z73" s="75">
        <f>+POWER(X73/S73,0.2)-1</f>
        <v>-0.1145080395258169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71">+D73/C73-1</f>
        <v>0.23333827521693151</v>
      </c>
      <c r="E74" s="62">
        <f t="shared" si="171"/>
        <v>0.13478783195064459</v>
      </c>
      <c r="F74" s="62">
        <f t="shared" si="171"/>
        <v>0.26364058219616515</v>
      </c>
      <c r="G74" s="62">
        <f t="shared" ref="G74:J74" si="172">+G72/F72-1</f>
        <v>-4.4936422999487524E-3</v>
      </c>
      <c r="H74" s="62">
        <f t="shared" si="172"/>
        <v>-0.3223035634641116</v>
      </c>
      <c r="I74" s="62">
        <f t="shared" si="172"/>
        <v>-4.9960852840722159E-2</v>
      </c>
      <c r="J74" s="190">
        <f t="shared" si="172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73">+Q73/P73-1</f>
        <v>-1.1524685365118081E-2</v>
      </c>
      <c r="R74" s="124">
        <f t="shared" si="173"/>
        <v>0.2636777696296797</v>
      </c>
      <c r="S74" s="124">
        <f t="shared" si="173"/>
        <v>0.26307429583988329</v>
      </c>
      <c r="T74" s="124">
        <f t="shared" si="173"/>
        <v>-6.7387090838916253E-2</v>
      </c>
      <c r="U74" s="124">
        <f t="shared" si="173"/>
        <v>-0.14933605166381747</v>
      </c>
      <c r="V74" s="124">
        <f t="shared" si="173"/>
        <v>-0.24569594519624505</v>
      </c>
      <c r="W74" s="241">
        <f t="shared" si="173"/>
        <v>-9.9769990719039803E-2</v>
      </c>
      <c r="X74" s="125">
        <f t="shared" si="173"/>
        <v>1.056379288879894E-2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48" t="str">
        <f>+A5</f>
        <v>EXPORTACION SIN MENCION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174">+C79+1</f>
        <v>2018</v>
      </c>
      <c r="E79" s="260">
        <f t="shared" si="174"/>
        <v>2019</v>
      </c>
      <c r="F79" s="260">
        <f t="shared" si="174"/>
        <v>2020</v>
      </c>
      <c r="G79" s="260">
        <f t="shared" si="174"/>
        <v>2021</v>
      </c>
      <c r="H79" s="260">
        <f t="shared" si="174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175">+SUM(C7:C9)</f>
        <v>5.2363999999999997</v>
      </c>
      <c r="D80" s="6">
        <f t="shared" si="175"/>
        <v>5.8277999999999999</v>
      </c>
      <c r="E80" s="6">
        <f t="shared" si="175"/>
        <v>20.265499999999999</v>
      </c>
      <c r="F80" s="6">
        <f t="shared" si="175"/>
        <v>59.844099999999997</v>
      </c>
      <c r="G80" s="6">
        <f t="shared" si="175"/>
        <v>16.569800000000001</v>
      </c>
      <c r="H80" s="6">
        <f t="shared" si="175"/>
        <v>9.0701000000000001</v>
      </c>
      <c r="I80" s="6">
        <f t="shared" si="175"/>
        <v>4.0393999999999997</v>
      </c>
      <c r="J80" s="67">
        <f t="shared" si="175"/>
        <v>3.5540000000000003</v>
      </c>
      <c r="K80" s="265">
        <f t="shared" si="175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176">+SUM(C10:C12)</f>
        <v>7.0168999999999997</v>
      </c>
      <c r="D81" s="6">
        <f t="shared" si="176"/>
        <v>9.7521999999999984</v>
      </c>
      <c r="E81" s="6">
        <f t="shared" si="176"/>
        <v>16.1008</v>
      </c>
      <c r="F81" s="6">
        <f t="shared" si="176"/>
        <v>28.429200000000002</v>
      </c>
      <c r="G81" s="6">
        <f t="shared" si="176"/>
        <v>26.455400000000001</v>
      </c>
      <c r="H81" s="6">
        <f t="shared" si="176"/>
        <v>10.987299999999999</v>
      </c>
      <c r="I81" s="6">
        <f t="shared" si="176"/>
        <v>3.3544</v>
      </c>
      <c r="J81" s="67">
        <f t="shared" si="176"/>
        <v>5.8730000000000002</v>
      </c>
      <c r="K81" s="265">
        <f t="shared" si="176"/>
        <v>5.6641000000000004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77">SUM(B80:B83)</f>
        <v>20.090871</v>
      </c>
      <c r="C84" s="54">
        <f t="shared" si="177"/>
        <v>12.253299999999999</v>
      </c>
      <c r="D84" s="54">
        <f t="shared" si="177"/>
        <v>15.579999999999998</v>
      </c>
      <c r="E84" s="54">
        <f t="shared" si="177"/>
        <v>36.366299999999995</v>
      </c>
      <c r="F84" s="54">
        <f t="shared" si="177"/>
        <v>88.273300000000006</v>
      </c>
      <c r="G84" s="54">
        <f t="shared" si="177"/>
        <v>43.025199999999998</v>
      </c>
      <c r="H84" s="54">
        <f t="shared" si="177"/>
        <v>20.057400000000001</v>
      </c>
      <c r="I84" s="54">
        <f t="shared" si="177"/>
        <v>7.3937999999999997</v>
      </c>
      <c r="J84" s="186">
        <f t="shared" si="177"/>
        <v>9.4269999999999996</v>
      </c>
      <c r="K84" s="267">
        <f t="shared" si="177"/>
        <v>9.8569999999999993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178">+D80/C80-1</f>
        <v>0.11294018791536176</v>
      </c>
      <c r="E85" s="257">
        <f t="shared" si="178"/>
        <v>2.4773842616424724</v>
      </c>
      <c r="F85" s="257">
        <f t="shared" si="178"/>
        <v>1.9530038735782487</v>
      </c>
      <c r="G85" s="257">
        <f t="shared" si="178"/>
        <v>-0.72311723294359842</v>
      </c>
      <c r="H85" s="257">
        <f t="shared" si="178"/>
        <v>-0.45261258434018514</v>
      </c>
      <c r="I85" s="257">
        <f t="shared" si="178"/>
        <v>-0.55464658603543515</v>
      </c>
      <c r="J85" s="258">
        <f t="shared" si="178"/>
        <v>-0.12016636134079306</v>
      </c>
      <c r="K85" s="269">
        <f t="shared" si="178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179">+D81/C81-1</f>
        <v>0.38981601561943302</v>
      </c>
      <c r="E86" s="257">
        <f t="shared" ref="E86" si="180">+E81/D81-1</f>
        <v>0.6509915711326677</v>
      </c>
      <c r="F86" s="257">
        <f t="shared" ref="F86" si="181">+F81/E81-1</f>
        <v>0.76570108317599139</v>
      </c>
      <c r="G86" s="257">
        <f t="shared" ref="G86" si="182">+G81/F81-1</f>
        <v>-6.9428615648699288E-2</v>
      </c>
      <c r="H86" s="257">
        <f t="shared" ref="H86" si="183">+H81/G81-1</f>
        <v>-0.58468592423474985</v>
      </c>
      <c r="I86" s="257">
        <f t="shared" ref="I86" si="184">+I81/H81-1</f>
        <v>-0.69470206511153787</v>
      </c>
      <c r="J86" s="258">
        <f t="shared" ref="J86" si="185">+J81/I81-1</f>
        <v>0.7508347245409015</v>
      </c>
      <c r="K86" s="269">
        <f t="shared" ref="K86" si="186">+K81/J81-1</f>
        <v>-3.5569555593393476E-2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48" t="str">
        <f>+A23</f>
        <v>EXPORTACION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187">+C94+1</f>
        <v>2018</v>
      </c>
      <c r="E94" s="260">
        <f t="shared" ref="E94" si="188">+D94+1</f>
        <v>2019</v>
      </c>
      <c r="F94" s="260">
        <f t="shared" ref="F94" si="189">+E94+1</f>
        <v>2020</v>
      </c>
      <c r="G94" s="260">
        <f t="shared" ref="G94" si="190">+F94+1</f>
        <v>2021</v>
      </c>
      <c r="H94" s="260">
        <f t="shared" ref="H94" si="191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192">+SUM(C25:C27)</f>
        <v>45.666600000000003</v>
      </c>
      <c r="D95" s="6">
        <f t="shared" si="192"/>
        <v>42.292900000000003</v>
      </c>
      <c r="E95" s="6">
        <f t="shared" si="192"/>
        <v>48.269300000000001</v>
      </c>
      <c r="F95" s="6">
        <f t="shared" si="192"/>
        <v>54.415300000000002</v>
      </c>
      <c r="G95" s="6">
        <f t="shared" si="192"/>
        <v>62.374600000000001</v>
      </c>
      <c r="H95" s="6">
        <f t="shared" si="192"/>
        <v>55.264899999999997</v>
      </c>
      <c r="I95" s="6">
        <f t="shared" si="192"/>
        <v>44.551200000000001</v>
      </c>
      <c r="J95" s="67">
        <f t="shared" si="192"/>
        <v>38.838799999999999</v>
      </c>
      <c r="K95" s="265">
        <f t="shared" si="192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193">+SUM(C28:C30)</f>
        <v>48.313199999999995</v>
      </c>
      <c r="D96" s="6">
        <f t="shared" si="193"/>
        <v>44.882100000000001</v>
      </c>
      <c r="E96" s="6">
        <f t="shared" si="193"/>
        <v>50.8215</v>
      </c>
      <c r="F96" s="6">
        <f t="shared" si="193"/>
        <v>62.8035</v>
      </c>
      <c r="G96" s="6">
        <f t="shared" si="193"/>
        <v>66.952799999999996</v>
      </c>
      <c r="H96" s="6">
        <f t="shared" si="193"/>
        <v>62.865499999999997</v>
      </c>
      <c r="I96" s="6">
        <f t="shared" si="193"/>
        <v>43.725200000000001</v>
      </c>
      <c r="J96" s="67">
        <f t="shared" si="193"/>
        <v>43.574999999999996</v>
      </c>
      <c r="K96" s="265">
        <f t="shared" si="193"/>
        <v>42.510999999999996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194">SUM(B95:B98)</f>
        <v>105.334541</v>
      </c>
      <c r="C99" s="54">
        <f t="shared" si="194"/>
        <v>93.979799999999997</v>
      </c>
      <c r="D99" s="54">
        <f t="shared" si="194"/>
        <v>87.175000000000011</v>
      </c>
      <c r="E99" s="54">
        <f t="shared" si="194"/>
        <v>99.090800000000002</v>
      </c>
      <c r="F99" s="54">
        <f t="shared" si="194"/>
        <v>117.2188</v>
      </c>
      <c r="G99" s="54">
        <f t="shared" si="194"/>
        <v>129.32740000000001</v>
      </c>
      <c r="H99" s="54">
        <f t="shared" si="194"/>
        <v>118.13039999999999</v>
      </c>
      <c r="I99" s="54">
        <f t="shared" si="194"/>
        <v>88.276399999999995</v>
      </c>
      <c r="J99" s="186">
        <f t="shared" si="194"/>
        <v>82.413799999999995</v>
      </c>
      <c r="K99" s="267">
        <f t="shared" si="194"/>
        <v>78.954999999999998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195">+D95/C95-1</f>
        <v>-7.3876750185036699E-2</v>
      </c>
      <c r="E100" s="257">
        <f t="shared" si="195"/>
        <v>0.14130977067072714</v>
      </c>
      <c r="F100" s="257">
        <f t="shared" si="195"/>
        <v>0.12732730741900133</v>
      </c>
      <c r="G100" s="257">
        <f t="shared" si="195"/>
        <v>0.14626952346123234</v>
      </c>
      <c r="H100" s="257">
        <f t="shared" si="195"/>
        <v>-0.1139838972915258</v>
      </c>
      <c r="I100" s="257">
        <f t="shared" si="195"/>
        <v>-0.19386084114872182</v>
      </c>
      <c r="J100" s="258">
        <f t="shared" si="195"/>
        <v>-0.12822101312647027</v>
      </c>
      <c r="K100" s="269">
        <f t="shared" si="195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196">+D96/C96-1</f>
        <v>-7.1017858473460538E-2</v>
      </c>
      <c r="E101" s="257">
        <f t="shared" ref="E101" si="197">+E96/D96-1</f>
        <v>0.13233338012258788</v>
      </c>
      <c r="F101" s="257">
        <f t="shared" ref="F101" si="198">+F96/E96-1</f>
        <v>0.23576635872612961</v>
      </c>
      <c r="G101" s="257">
        <f t="shared" ref="G101" si="199">+G96/F96-1</f>
        <v>6.6067973918650935E-2</v>
      </c>
      <c r="H101" s="257">
        <f t="shared" ref="H101" si="200">+H96/G96-1</f>
        <v>-6.104748419782291E-2</v>
      </c>
      <c r="I101" s="257">
        <f t="shared" ref="I101" si="201">+I96/H96-1</f>
        <v>-0.30446429281561427</v>
      </c>
      <c r="J101" s="258">
        <f t="shared" ref="J101" si="202">+J96/I96-1</f>
        <v>-3.4350900624812164E-3</v>
      </c>
      <c r="K101" s="269">
        <f t="shared" ref="K101" si="203">+K96/J96-1</f>
        <v>-2.441767068273093E-2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48" t="str">
        <f>+A41</f>
        <v>EXPORTACION ESPUMANTE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04">+C109+1</f>
        <v>2018</v>
      </c>
      <c r="E109" s="260">
        <f t="shared" ref="E109" si="205">+D109+1</f>
        <v>2019</v>
      </c>
      <c r="F109" s="260">
        <f t="shared" ref="F109" si="206">+E109+1</f>
        <v>2020</v>
      </c>
      <c r="G109" s="260">
        <f t="shared" ref="G109" si="207">+F109+1</f>
        <v>2021</v>
      </c>
      <c r="H109" s="260">
        <f t="shared" ref="H109" si="208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09">+SUM(C43:C45)</f>
        <v>0.56379999999999997</v>
      </c>
      <c r="D110" s="158">
        <f t="shared" si="209"/>
        <v>0.55420000000000003</v>
      </c>
      <c r="E110" s="158">
        <f t="shared" si="209"/>
        <v>0.53620000000000001</v>
      </c>
      <c r="F110" s="158">
        <f t="shared" si="209"/>
        <v>0.5101</v>
      </c>
      <c r="G110" s="158">
        <f t="shared" si="209"/>
        <v>0.64889999999999992</v>
      </c>
      <c r="H110" s="158">
        <f t="shared" si="209"/>
        <v>0.98270000000000002</v>
      </c>
      <c r="I110" s="158">
        <f t="shared" si="209"/>
        <v>1.0051000000000001</v>
      </c>
      <c r="J110" s="214">
        <f t="shared" si="209"/>
        <v>0.90090000000000003</v>
      </c>
      <c r="K110" s="299">
        <f t="shared" si="209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10">+SUM(C46:C48)</f>
        <v>0.79479999999999995</v>
      </c>
      <c r="D111" s="158">
        <f t="shared" si="210"/>
        <v>0.88519999999999999</v>
      </c>
      <c r="E111" s="158">
        <f t="shared" si="210"/>
        <v>0.71589999999999998</v>
      </c>
      <c r="F111" s="158">
        <f t="shared" si="210"/>
        <v>0.61780000000000002</v>
      </c>
      <c r="G111" s="158">
        <f t="shared" si="210"/>
        <v>0.72140000000000004</v>
      </c>
      <c r="H111" s="158">
        <f t="shared" si="210"/>
        <v>1.3124</v>
      </c>
      <c r="I111" s="158">
        <f t="shared" si="210"/>
        <v>0.76980000000000004</v>
      </c>
      <c r="J111" s="214">
        <f t="shared" si="210"/>
        <v>1.1806999999999999</v>
      </c>
      <c r="K111" s="299">
        <f t="shared" si="210"/>
        <v>1.1280000000000001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11">SUM(B110:B113)</f>
        <v>1.041846</v>
      </c>
      <c r="C114" s="54">
        <f t="shared" si="211"/>
        <v>1.3586</v>
      </c>
      <c r="D114" s="54">
        <f t="shared" si="211"/>
        <v>1.4394</v>
      </c>
      <c r="E114" s="54">
        <f t="shared" si="211"/>
        <v>1.2521</v>
      </c>
      <c r="F114" s="54">
        <f t="shared" si="211"/>
        <v>1.1278999999999999</v>
      </c>
      <c r="G114" s="54">
        <f t="shared" si="211"/>
        <v>1.3702999999999999</v>
      </c>
      <c r="H114" s="54">
        <f t="shared" si="211"/>
        <v>2.2951000000000001</v>
      </c>
      <c r="I114" s="54">
        <f t="shared" si="211"/>
        <v>1.7749000000000001</v>
      </c>
      <c r="J114" s="186">
        <f t="shared" si="211"/>
        <v>2.0815999999999999</v>
      </c>
      <c r="K114" s="267">
        <f t="shared" si="211"/>
        <v>1.9759000000000002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12">+D110/C110-1</f>
        <v>-1.7027314650585157E-2</v>
      </c>
      <c r="E115" s="257">
        <f t="shared" si="212"/>
        <v>-3.2479249368459029E-2</v>
      </c>
      <c r="F115" s="257">
        <f t="shared" si="212"/>
        <v>-4.8675867213726298E-2</v>
      </c>
      <c r="G115" s="257">
        <f t="shared" si="212"/>
        <v>0.27210350911585945</v>
      </c>
      <c r="H115" s="257">
        <f t="shared" si="212"/>
        <v>0.51440899984589317</v>
      </c>
      <c r="I115" s="257">
        <f t="shared" si="212"/>
        <v>2.2794342118652722E-2</v>
      </c>
      <c r="J115" s="258">
        <f t="shared" si="212"/>
        <v>-0.1036712764899016</v>
      </c>
      <c r="K115" s="269">
        <f t="shared" si="212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13">+D111/C111-1</f>
        <v>0.11373930548565681</v>
      </c>
      <c r="E116" s="257">
        <f t="shared" ref="E116" si="214">+E111/D111-1</f>
        <v>-0.19125621328513331</v>
      </c>
      <c r="F116" s="257">
        <f t="shared" ref="F116" si="215">+F111/E111-1</f>
        <v>-0.13703031149601896</v>
      </c>
      <c r="G116" s="257">
        <f t="shared" ref="G116" si="216">+G111/F111-1</f>
        <v>0.16769180964713493</v>
      </c>
      <c r="H116" s="257">
        <f t="shared" ref="H116" si="217">+H111/G111-1</f>
        <v>0.81924036595508731</v>
      </c>
      <c r="I116" s="257">
        <f t="shared" ref="I116" si="218">+I111/H111-1</f>
        <v>-0.41344102407802497</v>
      </c>
      <c r="J116" s="258">
        <f t="shared" ref="J116" si="219">+J111/I111-1</f>
        <v>0.53377500649519338</v>
      </c>
      <c r="K116" s="269">
        <f t="shared" ref="K116" si="220">+K111/J111-1</f>
        <v>-4.4634538832895476E-2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21">+C124+1</f>
        <v>2018</v>
      </c>
      <c r="E124" s="260">
        <f t="shared" ref="E124" si="222">+D124+1</f>
        <v>2019</v>
      </c>
      <c r="F124" s="260">
        <f t="shared" ref="F124" si="223">+E124+1</f>
        <v>2020</v>
      </c>
      <c r="G124" s="260">
        <f t="shared" ref="G124" si="224">+F124+1</f>
        <v>2021</v>
      </c>
      <c r="H124" s="260">
        <f t="shared" ref="H124" si="225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26">+SUM(C61:C63)</f>
        <v>51.521799999999999</v>
      </c>
      <c r="D125" s="6">
        <f t="shared" si="226"/>
        <v>48.679600000000001</v>
      </c>
      <c r="E125" s="6">
        <f t="shared" si="226"/>
        <v>69.075699999999998</v>
      </c>
      <c r="F125" s="6">
        <f t="shared" si="226"/>
        <v>114.7761</v>
      </c>
      <c r="G125" s="6">
        <f t="shared" si="226"/>
        <v>79.608199999999997</v>
      </c>
      <c r="H125" s="6">
        <f t="shared" si="226"/>
        <v>65.318399999999997</v>
      </c>
      <c r="I125" s="6">
        <f t="shared" si="226"/>
        <v>49.598700000000001</v>
      </c>
      <c r="J125" s="67">
        <f t="shared" si="226"/>
        <v>43.489699999999999</v>
      </c>
      <c r="K125" s="265">
        <f t="shared" si="226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27">+SUM(C64:C66)</f>
        <v>56.147100000000002</v>
      </c>
      <c r="D126" s="6">
        <f t="shared" si="227"/>
        <v>55.522799999999997</v>
      </c>
      <c r="E126" s="6">
        <f t="shared" si="227"/>
        <v>67.659599999999998</v>
      </c>
      <c r="F126" s="6">
        <f t="shared" si="227"/>
        <v>91.852800000000002</v>
      </c>
      <c r="G126" s="6">
        <f t="shared" si="227"/>
        <v>94.132200000000012</v>
      </c>
      <c r="H126" s="6">
        <f t="shared" si="227"/>
        <v>75.169899999999998</v>
      </c>
      <c r="I126" s="6">
        <f t="shared" si="227"/>
        <v>47.853200000000001</v>
      </c>
      <c r="J126" s="67">
        <f t="shared" si="227"/>
        <v>50.634599999999999</v>
      </c>
      <c r="K126" s="265">
        <f t="shared" si="227"/>
        <v>49.314799999999998</v>
      </c>
    </row>
    <row r="127" spans="1:11" x14ac:dyDescent="0.25">
      <c r="A127" s="264" t="s">
        <v>301</v>
      </c>
      <c r="B127" s="193"/>
      <c r="C127" s="6"/>
      <c r="D127" s="6"/>
      <c r="E127" s="6"/>
      <c r="F127" s="6"/>
      <c r="G127" s="6"/>
      <c r="H127" s="6"/>
      <c r="I127" s="6"/>
      <c r="J127" s="67"/>
      <c r="K127" s="265"/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28">SUM(B125:B128)</f>
        <v>126.51443599999999</v>
      </c>
      <c r="C129" s="54">
        <f t="shared" si="228"/>
        <v>107.66890000000001</v>
      </c>
      <c r="D129" s="54">
        <f t="shared" si="228"/>
        <v>104.2024</v>
      </c>
      <c r="E129" s="54">
        <f t="shared" si="228"/>
        <v>136.7353</v>
      </c>
      <c r="F129" s="54">
        <f t="shared" si="228"/>
        <v>206.62889999999999</v>
      </c>
      <c r="G129" s="54">
        <f t="shared" si="228"/>
        <v>173.74040000000002</v>
      </c>
      <c r="H129" s="54">
        <f t="shared" si="228"/>
        <v>140.48829999999998</v>
      </c>
      <c r="I129" s="54">
        <f t="shared" si="228"/>
        <v>97.451899999999995</v>
      </c>
      <c r="J129" s="186">
        <f t="shared" si="228"/>
        <v>94.124300000000005</v>
      </c>
      <c r="K129" s="267">
        <f t="shared" si="228"/>
        <v>90.802499999999995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29">+D125/C125-1</f>
        <v>-5.51649981173018E-2</v>
      </c>
      <c r="E130" s="257">
        <f t="shared" si="229"/>
        <v>0.41898659808215344</v>
      </c>
      <c r="F130" s="257">
        <f t="shared" si="229"/>
        <v>0.66159879668248034</v>
      </c>
      <c r="G130" s="257">
        <f t="shared" si="229"/>
        <v>-0.30640438209696974</v>
      </c>
      <c r="H130" s="257">
        <f t="shared" si="229"/>
        <v>-0.17950160913071767</v>
      </c>
      <c r="I130" s="257">
        <f t="shared" si="229"/>
        <v>-0.24066266166960604</v>
      </c>
      <c r="J130" s="258">
        <f t="shared" si="229"/>
        <v>-0.12316855078862954</v>
      </c>
      <c r="K130" s="269">
        <f t="shared" si="229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30">+D126/C126-1</f>
        <v>-1.1119007036872852E-2</v>
      </c>
      <c r="E131" s="257">
        <f t="shared" ref="E131" si="231">+E126/D126-1</f>
        <v>0.218591281419525</v>
      </c>
      <c r="F131" s="257">
        <f t="shared" ref="F131" si="232">+F126/E126-1</f>
        <v>0.35757231789723853</v>
      </c>
      <c r="G131" s="257">
        <f t="shared" ref="G131" si="233">+G126/F126-1</f>
        <v>2.4815792224080369E-2</v>
      </c>
      <c r="H131" s="257">
        <f t="shared" ref="H131" si="234">+H126/G126-1</f>
        <v>-0.20144328933138722</v>
      </c>
      <c r="I131" s="257">
        <f t="shared" ref="I131" si="235">+I126/H126-1</f>
        <v>-0.36339944578880634</v>
      </c>
      <c r="J131" s="258">
        <f t="shared" ref="J131" si="236">+J126/I126-1</f>
        <v>5.8123594660336231E-2</v>
      </c>
      <c r="K131" s="269">
        <f t="shared" ref="K131" si="237">+K126/J126-1</f>
        <v>-2.606518072622277E-2</v>
      </c>
    </row>
    <row r="132" spans="1:11" x14ac:dyDescent="0.25">
      <c r="A132" s="268" t="s">
        <v>305</v>
      </c>
      <c r="B132" s="256"/>
      <c r="C132" s="257"/>
      <c r="D132" s="257"/>
      <c r="E132" s="257"/>
      <c r="F132" s="257"/>
      <c r="G132" s="257"/>
      <c r="H132" s="257"/>
      <c r="I132" s="257"/>
      <c r="J132" s="258"/>
      <c r="K132" s="269"/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42" t="s">
        <v>309</v>
      </c>
      <c r="B138" s="343"/>
      <c r="C138" s="343"/>
      <c r="D138" s="343"/>
      <c r="E138" s="343"/>
      <c r="F138" s="343"/>
      <c r="G138" s="343"/>
      <c r="H138" s="343"/>
      <c r="I138" s="343"/>
      <c r="J138" s="343"/>
      <c r="K138" s="34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238">+C139+1</f>
        <v>2018</v>
      </c>
      <c r="E139" s="260">
        <f t="shared" si="238"/>
        <v>2019</v>
      </c>
      <c r="F139" s="260">
        <f t="shared" si="238"/>
        <v>2020</v>
      </c>
      <c r="G139" s="260">
        <f t="shared" si="238"/>
        <v>2021</v>
      </c>
      <c r="H139" s="260">
        <f t="shared" si="238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239">+C125+C126</f>
        <v>107.66890000000001</v>
      </c>
      <c r="D140" s="6">
        <f t="shared" si="239"/>
        <v>104.2024</v>
      </c>
      <c r="E140" s="6">
        <f t="shared" si="239"/>
        <v>136.7353</v>
      </c>
      <c r="F140" s="6">
        <f t="shared" si="239"/>
        <v>206.62889999999999</v>
      </c>
      <c r="G140" s="6">
        <f t="shared" si="239"/>
        <v>173.74040000000002</v>
      </c>
      <c r="H140" s="6">
        <f t="shared" si="239"/>
        <v>140.48829999999998</v>
      </c>
      <c r="I140" s="6">
        <f t="shared" si="239"/>
        <v>97.451899999999995</v>
      </c>
      <c r="J140" s="67">
        <f t="shared" si="239"/>
        <v>94.124300000000005</v>
      </c>
      <c r="K140" s="315">
        <f t="shared" si="239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240">SUM(B140:B141)</f>
        <v>126.51443599999999</v>
      </c>
      <c r="C142" s="54">
        <f t="shared" si="240"/>
        <v>107.66890000000001</v>
      </c>
      <c r="D142" s="54">
        <f t="shared" si="240"/>
        <v>104.2024</v>
      </c>
      <c r="E142" s="54">
        <f t="shared" si="240"/>
        <v>136.7353</v>
      </c>
      <c r="F142" s="54">
        <f t="shared" si="240"/>
        <v>206.62889999999999</v>
      </c>
      <c r="G142" s="54">
        <f t="shared" si="240"/>
        <v>173.74040000000002</v>
      </c>
      <c r="H142" s="54">
        <f t="shared" si="240"/>
        <v>140.48829999999998</v>
      </c>
      <c r="I142" s="54">
        <f t="shared" si="240"/>
        <v>97.451899999999995</v>
      </c>
      <c r="J142" s="186">
        <f t="shared" si="240"/>
        <v>94.124300000000005</v>
      </c>
      <c r="K142" s="317">
        <f t="shared" si="240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241">+D140/C140-1</f>
        <v>-3.2195926586043089E-2</v>
      </c>
      <c r="E143" s="257">
        <f t="shared" si="241"/>
        <v>0.31220873991386</v>
      </c>
      <c r="F143" s="257">
        <f t="shared" si="241"/>
        <v>0.51115988336589013</v>
      </c>
      <c r="G143" s="257">
        <f t="shared" si="241"/>
        <v>-0.15916698970957099</v>
      </c>
      <c r="H143" s="257">
        <f t="shared" si="241"/>
        <v>-0.1913895674235816</v>
      </c>
      <c r="I143" s="257">
        <f t="shared" si="241"/>
        <v>-0.30633440649506039</v>
      </c>
      <c r="J143" s="258">
        <f t="shared" si="241"/>
        <v>-3.4146076166806316E-2</v>
      </c>
      <c r="K143" s="318">
        <f t="shared" si="241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8:K138"/>
    <mergeCell ref="A78:K78"/>
    <mergeCell ref="A93:K93"/>
    <mergeCell ref="A108:K108"/>
    <mergeCell ref="A123:K123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workbookViewId="0">
      <selection activeCell="X154" sqref="X154:Z155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34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35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36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/>
      <c r="L14" s="7"/>
      <c r="M14" s="2"/>
      <c r="N14" s="42" t="s">
        <v>5</v>
      </c>
      <c r="O14" s="6">
        <f>+SUM('[1]4.EXPORTACIONES POR ENVASE'!B312:B323)/10000</f>
        <v>202.171232</v>
      </c>
      <c r="P14" s="6">
        <f t="shared" ref="P14:W14" si="19">+SUM(C7:C14)+SUM(B15:B18)</f>
        <v>198.90459999999999</v>
      </c>
      <c r="Q14" s="6">
        <f t="shared" si="19"/>
        <v>187.69150000000002</v>
      </c>
      <c r="R14" s="6">
        <f t="shared" si="19"/>
        <v>188.88640000000004</v>
      </c>
      <c r="S14" s="6">
        <f t="shared" si="19"/>
        <v>195.92619999999999</v>
      </c>
      <c r="T14" s="6">
        <f t="shared" si="19"/>
        <v>215.17150000000001</v>
      </c>
      <c r="U14" s="6">
        <f t="shared" si="19"/>
        <v>211.58329999999998</v>
      </c>
      <c r="V14" s="6">
        <f t="shared" si="19"/>
        <v>161.9956</v>
      </c>
      <c r="W14" s="67">
        <f t="shared" si="19"/>
        <v>154.98009999999999</v>
      </c>
      <c r="X14" s="37"/>
      <c r="Y14" s="78"/>
      <c r="Z14" s="7"/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/>
      <c r="L15" s="7"/>
      <c r="M15" s="2"/>
      <c r="N15" s="42" t="s">
        <v>6</v>
      </c>
      <c r="O15" s="6">
        <f>+SUM('[1]4.EXPORTACIONES POR ENVASE'!B313:B324)/10000</f>
        <v>202.838088</v>
      </c>
      <c r="P15" s="6">
        <f t="shared" ref="P15:W15" si="20">+SUM(C7:C15)+SUM(B16:B18)</f>
        <v>195.90799999999999</v>
      </c>
      <c r="Q15" s="6">
        <f t="shared" si="20"/>
        <v>185.7938</v>
      </c>
      <c r="R15" s="6">
        <f t="shared" si="20"/>
        <v>190.334</v>
      </c>
      <c r="S15" s="6">
        <f t="shared" si="20"/>
        <v>200.77289999999999</v>
      </c>
      <c r="T15" s="6">
        <f t="shared" si="20"/>
        <v>215.143</v>
      </c>
      <c r="U15" s="6">
        <f t="shared" si="20"/>
        <v>209.38409999999999</v>
      </c>
      <c r="V15" s="6">
        <f t="shared" si="20"/>
        <v>157.30439999999999</v>
      </c>
      <c r="W15" s="67">
        <f t="shared" si="20"/>
        <v>155.19299999999998</v>
      </c>
      <c r="X15" s="37"/>
      <c r="Y15" s="78"/>
      <c r="Z15" s="7"/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21">+SUM(C7:C16)+SUM(B17:B18)</f>
        <v>194.5378</v>
      </c>
      <c r="Q16" s="6">
        <f t="shared" si="21"/>
        <v>185.8065</v>
      </c>
      <c r="R16" s="6">
        <f t="shared" si="21"/>
        <v>191.79490000000004</v>
      </c>
      <c r="S16" s="6">
        <f t="shared" si="21"/>
        <v>200.67749999999998</v>
      </c>
      <c r="T16" s="6">
        <f t="shared" si="21"/>
        <v>215.02170000000001</v>
      </c>
      <c r="U16" s="6">
        <f t="shared" si="21"/>
        <v>206.77989999999997</v>
      </c>
      <c r="V16" s="6">
        <f t="shared" si="21"/>
        <v>155.02350000000001</v>
      </c>
      <c r="W16" s="67">
        <f t="shared" si="21"/>
        <v>155.79700000000003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22">+SUM(C7:C17)+SUM(B18)</f>
        <v>193.99569999999997</v>
      </c>
      <c r="Q17" s="6">
        <f t="shared" si="22"/>
        <v>186.57170000000002</v>
      </c>
      <c r="R17" s="6">
        <f t="shared" si="22"/>
        <v>191.37610000000004</v>
      </c>
      <c r="S17" s="6">
        <f t="shared" si="22"/>
        <v>201.73179999999996</v>
      </c>
      <c r="T17" s="6">
        <f t="shared" si="22"/>
        <v>217.36750000000001</v>
      </c>
      <c r="U17" s="6">
        <f t="shared" si="22"/>
        <v>201.08199999999997</v>
      </c>
      <c r="V17" s="6">
        <f t="shared" si="22"/>
        <v>153.71459999999999</v>
      </c>
      <c r="W17" s="67">
        <f t="shared" si="22"/>
        <v>156.3794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23">+SUM(C7:C18)</f>
        <v>191.97369999999998</v>
      </c>
      <c r="Q18" s="6">
        <f t="shared" si="23"/>
        <v>186.51860000000002</v>
      </c>
      <c r="R18" s="6">
        <f t="shared" si="23"/>
        <v>191.37660000000002</v>
      </c>
      <c r="S18" s="6">
        <f t="shared" si="23"/>
        <v>201.57329999999996</v>
      </c>
      <c r="T18" s="6">
        <f t="shared" si="23"/>
        <v>220.32990000000001</v>
      </c>
      <c r="U18" s="6">
        <f t="shared" si="23"/>
        <v>197.26389999999998</v>
      </c>
      <c r="V18" s="6">
        <f t="shared" si="23"/>
        <v>152.19729999999998</v>
      </c>
      <c r="W18" s="67">
        <f t="shared" si="23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24">SUM(C7:C18)</f>
        <v>191.97369999999998</v>
      </c>
      <c r="D19" s="54">
        <f t="shared" si="24"/>
        <v>186.51860000000002</v>
      </c>
      <c r="E19" s="54">
        <f t="shared" si="24"/>
        <v>191.37660000000002</v>
      </c>
      <c r="F19" s="54">
        <f t="shared" si="24"/>
        <v>201.57329999999996</v>
      </c>
      <c r="G19" s="54">
        <f t="shared" ref="G19:H19" si="25">SUM(G7:G18)</f>
        <v>220.32990000000001</v>
      </c>
      <c r="H19" s="54">
        <f t="shared" si="25"/>
        <v>197.26389999999998</v>
      </c>
      <c r="I19" s="54">
        <f t="shared" ref="I19:J19" si="26">SUM(I7:I18)</f>
        <v>152.19729999999998</v>
      </c>
      <c r="J19" s="186">
        <f t="shared" si="26"/>
        <v>156.34300000000002</v>
      </c>
      <c r="K19" s="186"/>
      <c r="L19" s="56"/>
      <c r="M19" s="3"/>
      <c r="N19" s="43" t="s">
        <v>14</v>
      </c>
      <c r="O19" s="46">
        <f t="shared" ref="O19" si="27">+AVERAGE(O7:O18)</f>
        <v>200.06799775000002</v>
      </c>
      <c r="P19" s="46">
        <f>+AVERAGE(P7:P18)</f>
        <v>199.72938875</v>
      </c>
      <c r="Q19" s="46">
        <f t="shared" ref="Q19:U19" si="28">+AVERAGE(Q7:Q18)</f>
        <v>188.37522499999997</v>
      </c>
      <c r="R19" s="46">
        <f t="shared" si="28"/>
        <v>190.15820000000005</v>
      </c>
      <c r="S19" s="46">
        <f t="shared" si="28"/>
        <v>195.46136666666663</v>
      </c>
      <c r="T19" s="46">
        <f t="shared" si="28"/>
        <v>212.30100000000002</v>
      </c>
      <c r="U19" s="226">
        <f t="shared" si="28"/>
        <v>211.02498333333332</v>
      </c>
      <c r="V19" s="226">
        <f t="shared" ref="V19:W19" si="29">+AVERAGE(V7:V18)</f>
        <v>172.4342</v>
      </c>
      <c r="W19" s="220">
        <f t="shared" si="29"/>
        <v>151.65549999999999</v>
      </c>
      <c r="X19" s="197">
        <f t="shared" ref="X19" si="30">+AVERAGE(X7:X18)</f>
        <v>154.59755714285714</v>
      </c>
      <c r="Y19" s="79">
        <f>+X19/W19-1</f>
        <v>1.9399607286627596E-2</v>
      </c>
      <c r="Z19" s="75">
        <f>+POWER(X19/S19,0.2)-1</f>
        <v>-4.5824328460813524E-2</v>
      </c>
    </row>
    <row r="20" spans="1:26" ht="25.5" x14ac:dyDescent="0.25">
      <c r="A20" s="57" t="s">
        <v>15</v>
      </c>
      <c r="B20" s="195">
        <f t="shared" ref="B20:G20" si="31">+B19/B$55</f>
        <v>0.79732120318830846</v>
      </c>
      <c r="C20" s="58">
        <f t="shared" si="31"/>
        <v>0.85985875780865417</v>
      </c>
      <c r="D20" s="58">
        <f t="shared" si="31"/>
        <v>0.67736936700062089</v>
      </c>
      <c r="E20" s="58">
        <f t="shared" si="31"/>
        <v>0.61268980018875974</v>
      </c>
      <c r="F20" s="58">
        <f t="shared" si="31"/>
        <v>0.51050950582668264</v>
      </c>
      <c r="G20" s="58">
        <f t="shared" si="31"/>
        <v>0.65516716389772467</v>
      </c>
      <c r="H20" s="58">
        <f t="shared" ref="H20:I20" si="32">+H19/H$55</f>
        <v>0.74470541378731037</v>
      </c>
      <c r="I20" s="58">
        <f t="shared" si="32"/>
        <v>0.76046748094425543</v>
      </c>
      <c r="J20" s="189">
        <f t="shared" ref="J20" si="33">+J19/J$55</f>
        <v>0.74892087812808827</v>
      </c>
      <c r="K20" s="189"/>
      <c r="L20" s="59"/>
      <c r="M20" s="3"/>
      <c r="N20" s="44" t="s">
        <v>15</v>
      </c>
      <c r="O20" s="48">
        <f t="shared" ref="O20:T20" si="34">+O19/O$55</f>
        <v>0.76685305332860354</v>
      </c>
      <c r="P20" s="48">
        <f t="shared" si="34"/>
        <v>0.83194539708175452</v>
      </c>
      <c r="Q20" s="48">
        <f t="shared" si="34"/>
        <v>0.7937989504378582</v>
      </c>
      <c r="R20" s="48">
        <f t="shared" si="34"/>
        <v>0.63430349860640234</v>
      </c>
      <c r="S20" s="48">
        <f t="shared" si="34"/>
        <v>0.5160766095311653</v>
      </c>
      <c r="T20" s="48">
        <f t="shared" si="34"/>
        <v>0.60100457597387735</v>
      </c>
      <c r="U20" s="58">
        <f t="shared" ref="U20:V20" si="35">+U19/U$55</f>
        <v>0.70299327246794896</v>
      </c>
      <c r="V20" s="58">
        <f t="shared" si="35"/>
        <v>0.75960482099212367</v>
      </c>
      <c r="W20" s="189">
        <f t="shared" ref="W20:X20" si="36">+W19/W$55</f>
        <v>0.75866024409314492</v>
      </c>
      <c r="X20" s="188">
        <f t="shared" si="36"/>
        <v>0.75186828882508894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37">+D19/C19-1</f>
        <v>-2.8415871549071325E-2</v>
      </c>
      <c r="E21" s="62">
        <f t="shared" si="37"/>
        <v>2.6045659789425857E-2</v>
      </c>
      <c r="F21" s="62">
        <f t="shared" si="37"/>
        <v>5.328080862550566E-2</v>
      </c>
      <c r="G21" s="62">
        <f t="shared" si="37"/>
        <v>9.3051014196821047E-2</v>
      </c>
      <c r="H21" s="62">
        <f t="shared" si="37"/>
        <v>-0.10468846942698218</v>
      </c>
      <c r="I21" s="62">
        <f t="shared" si="37"/>
        <v>-0.2284584254899148</v>
      </c>
      <c r="J21" s="190">
        <f t="shared" si="37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38">+Q19/P19-1</f>
        <v>-5.6847736935759396E-2</v>
      </c>
      <c r="R21" s="50">
        <f t="shared" si="38"/>
        <v>9.4650185553863952E-3</v>
      </c>
      <c r="S21" s="50">
        <f t="shared" si="38"/>
        <v>2.7888182926987026E-2</v>
      </c>
      <c r="T21" s="50">
        <f t="shared" si="38"/>
        <v>8.6153256884011986E-2</v>
      </c>
      <c r="U21" s="62">
        <f t="shared" si="38"/>
        <v>-6.0104128886189212E-3</v>
      </c>
      <c r="V21" s="62">
        <f t="shared" si="38"/>
        <v>-0.18287305476231519</v>
      </c>
      <c r="W21" s="190">
        <f t="shared" si="38"/>
        <v>-0.12050219735992052</v>
      </c>
      <c r="X21" s="187">
        <f t="shared" si="38"/>
        <v>1.9399607286627596E-2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37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38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39">
        <f t="shared" si="3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0">+P24+1</f>
        <v>2018</v>
      </c>
      <c r="R24" s="64">
        <f t="shared" si="40"/>
        <v>2019</v>
      </c>
      <c r="S24" s="64">
        <f t="shared" si="40"/>
        <v>2020</v>
      </c>
      <c r="T24" s="64">
        <f t="shared" ref="T24" si="41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42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43">+SUM(C25)+SUM(B26:B36)</f>
        <v>52.015313999999996</v>
      </c>
      <c r="Q25" s="6">
        <f t="shared" si="43"/>
        <v>28.141000000000002</v>
      </c>
      <c r="R25" s="6">
        <f t="shared" si="43"/>
        <v>99.095399999999984</v>
      </c>
      <c r="S25" s="6">
        <f t="shared" si="43"/>
        <v>137.75839999999999</v>
      </c>
      <c r="T25" s="6">
        <f t="shared" si="43"/>
        <v>172.85930000000002</v>
      </c>
      <c r="U25" s="6">
        <f t="shared" si="43"/>
        <v>112.75760000000001</v>
      </c>
      <c r="V25" s="6">
        <f t="shared" si="43"/>
        <v>67.775300000000001</v>
      </c>
      <c r="W25" s="67">
        <f t="shared" si="43"/>
        <v>46.557499999999997</v>
      </c>
      <c r="X25" s="37">
        <f t="shared" si="43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42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44">+SUM(C25:C26)+SUM(B27:B36)</f>
        <v>48.693307999999995</v>
      </c>
      <c r="Q26" s="6">
        <f t="shared" si="44"/>
        <v>28.399500000000003</v>
      </c>
      <c r="R26" s="6">
        <f t="shared" si="44"/>
        <v>103.60830000000001</v>
      </c>
      <c r="S26" s="6">
        <f t="shared" si="44"/>
        <v>159.25029999999998</v>
      </c>
      <c r="T26" s="6">
        <f t="shared" si="44"/>
        <v>154.03870000000001</v>
      </c>
      <c r="U26" s="6">
        <f t="shared" si="44"/>
        <v>109.405</v>
      </c>
      <c r="V26" s="6">
        <f t="shared" si="44"/>
        <v>65.003699999999995</v>
      </c>
      <c r="W26" s="67">
        <f t="shared" ref="W26" si="45">+SUM(J25:J26)+SUM(I27:I36)</f>
        <v>46.068200000000004</v>
      </c>
      <c r="X26" s="37">
        <f t="shared" ref="X26" si="46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42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47">+SUM(C25:C27)+SUM(B28:B36)</f>
        <v>46.602707999999993</v>
      </c>
      <c r="Q27" s="6">
        <f t="shared" si="47"/>
        <v>29.247500000000002</v>
      </c>
      <c r="R27" s="6">
        <f t="shared" si="47"/>
        <v>107.73239999999998</v>
      </c>
      <c r="S27" s="6">
        <f t="shared" si="47"/>
        <v>167.95459999999997</v>
      </c>
      <c r="T27" s="6">
        <f t="shared" si="47"/>
        <v>150.0264</v>
      </c>
      <c r="U27" s="6">
        <f t="shared" si="47"/>
        <v>105.4346</v>
      </c>
      <c r="V27" s="6">
        <f t="shared" si="47"/>
        <v>61.590999999999994</v>
      </c>
      <c r="W27" s="67">
        <f t="shared" ref="W27" si="48">+SUM(J25:J27)+SUM(I28:I36)</f>
        <v>45.463099999999997</v>
      </c>
      <c r="X27" s="37">
        <f t="shared" ref="X27" si="49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42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50">+SUM(C25:C28)+SUM(B29:B36)</f>
        <v>44.121337999999994</v>
      </c>
      <c r="Q28" s="6">
        <f t="shared" si="50"/>
        <v>31.526899999999998</v>
      </c>
      <c r="R28" s="6">
        <f t="shared" si="50"/>
        <v>109.5654</v>
      </c>
      <c r="S28" s="6">
        <f t="shared" si="50"/>
        <v>174.63549999999998</v>
      </c>
      <c r="T28" s="6">
        <f t="shared" si="50"/>
        <v>151.34570000000002</v>
      </c>
      <c r="U28" s="6">
        <f t="shared" si="50"/>
        <v>100.2556</v>
      </c>
      <c r="V28" s="6">
        <f t="shared" si="50"/>
        <v>56.852600000000002</v>
      </c>
      <c r="W28" s="67">
        <f t="shared" ref="W28" si="51">+SUM(J25:J28)+SUM(I29:I36)</f>
        <v>46.32</v>
      </c>
      <c r="X28" s="37">
        <f t="shared" ref="X28" si="52">+SUM(K25:K28)+SUM(J29:J36)</f>
        <v>50.842700000000001</v>
      </c>
      <c r="Y28" s="78">
        <f t="shared" ref="Y28:Y31" si="53">+X28/W28-1</f>
        <v>9.76403281519862E-2</v>
      </c>
      <c r="Z28" s="7">
        <f t="shared" ref="Z28:Z31" si="54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42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55">+SUM(C25:C29)+SUM(B30:B36)</f>
        <v>41.016918000000004</v>
      </c>
      <c r="Q29" s="6">
        <f t="shared" si="55"/>
        <v>34.0334</v>
      </c>
      <c r="R29" s="6">
        <f t="shared" si="55"/>
        <v>110.97560000000001</v>
      </c>
      <c r="S29" s="6">
        <f t="shared" si="55"/>
        <v>183.54849999999999</v>
      </c>
      <c r="T29" s="6">
        <f t="shared" si="55"/>
        <v>149.09029999999998</v>
      </c>
      <c r="U29" s="6">
        <f t="shared" si="55"/>
        <v>93.658999999999992</v>
      </c>
      <c r="V29" s="6">
        <f t="shared" si="55"/>
        <v>55.373900000000006</v>
      </c>
      <c r="W29" s="67">
        <f t="shared" si="55"/>
        <v>45.7059</v>
      </c>
      <c r="X29" s="37">
        <f t="shared" ref="X29" si="56">+SUM(K25:K29)+SUM(J30:J36)</f>
        <v>50.757800000000003</v>
      </c>
      <c r="Y29" s="78">
        <f t="shared" si="53"/>
        <v>0.11053058795472803</v>
      </c>
      <c r="Z29" s="7">
        <f t="shared" si="54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42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57">+SUM(C25:C30)+SUM(B31:B36)</f>
        <v>39.987917999999993</v>
      </c>
      <c r="Q30" s="6">
        <f t="shared" si="57"/>
        <v>33.272000000000006</v>
      </c>
      <c r="R30" s="6">
        <f t="shared" si="57"/>
        <v>115.56800000000001</v>
      </c>
      <c r="S30" s="6">
        <f t="shared" si="57"/>
        <v>188.904</v>
      </c>
      <c r="T30" s="6">
        <f t="shared" si="57"/>
        <v>147.63259999999997</v>
      </c>
      <c r="U30" s="6">
        <f t="shared" si="57"/>
        <v>88.863200000000006</v>
      </c>
      <c r="V30" s="6">
        <f t="shared" si="57"/>
        <v>52.032800000000002</v>
      </c>
      <c r="W30" s="67">
        <f t="shared" ref="W30" si="58">+SUM(J25:J30)+SUM(I31:I36)</f>
        <v>45.671999999999997</v>
      </c>
      <c r="X30" s="37">
        <f t="shared" ref="X30" si="59">+SUM(K25:K30)+SUM(J31:J36)</f>
        <v>51.899300000000004</v>
      </c>
      <c r="Y30" s="78">
        <f t="shared" si="53"/>
        <v>0.13634830968646017</v>
      </c>
      <c r="Z30" s="7">
        <f t="shared" si="54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60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61">+SUM(C25:C31)+SUM(B32:B36)</f>
        <v>38.562938000000003</v>
      </c>
      <c r="Q31" s="6">
        <f t="shared" si="61"/>
        <v>36.476399999999998</v>
      </c>
      <c r="R31" s="6">
        <f t="shared" si="61"/>
        <v>119.5239</v>
      </c>
      <c r="S31" s="6">
        <f t="shared" si="61"/>
        <v>193.96609999999998</v>
      </c>
      <c r="T31" s="6">
        <f t="shared" si="61"/>
        <v>141.536</v>
      </c>
      <c r="U31" s="6">
        <f t="shared" si="61"/>
        <v>83.612499999999983</v>
      </c>
      <c r="V31" s="6">
        <f t="shared" si="61"/>
        <v>52.153599999999997</v>
      </c>
      <c r="W31" s="67">
        <f t="shared" ref="W31" si="62">+SUM(J25:J31)+SUM(I32:I36)</f>
        <v>48.407399999999996</v>
      </c>
      <c r="X31" s="37">
        <f t="shared" ref="X31" si="63">+SUM(K25:K31)+SUM(J32:J36)</f>
        <v>48.914000000000001</v>
      </c>
      <c r="Y31" s="78">
        <f t="shared" si="53"/>
        <v>1.0465342075798523E-2</v>
      </c>
      <c r="Z31" s="7">
        <f t="shared" si="54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/>
      <c r="L32" s="7"/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64">+SUM(C25:C32)+SUM(B33:B36)</f>
        <v>36.833100000000002</v>
      </c>
      <c r="Q32" s="6">
        <f t="shared" si="64"/>
        <v>49.305500000000002</v>
      </c>
      <c r="R32" s="6">
        <f t="shared" si="64"/>
        <v>114.76990000000001</v>
      </c>
      <c r="S32" s="6">
        <f t="shared" si="64"/>
        <v>197.07490000000001</v>
      </c>
      <c r="T32" s="6">
        <f t="shared" si="64"/>
        <v>134.8725</v>
      </c>
      <c r="U32" s="6">
        <f t="shared" si="64"/>
        <v>80.335099999999983</v>
      </c>
      <c r="V32" s="6">
        <f t="shared" si="64"/>
        <v>50.497599999999998</v>
      </c>
      <c r="W32" s="67">
        <f t="shared" ref="W32" si="65">+SUM(J25:J32)+SUM(I33:I36)</f>
        <v>50.570899999999995</v>
      </c>
      <c r="X32" s="37"/>
      <c r="Y32" s="78"/>
      <c r="Z32" s="7"/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/>
      <c r="L33" s="7"/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66">+SUM(C25:C33)+SUM(B34:B36)</f>
        <v>36.205100000000002</v>
      </c>
      <c r="Q33" s="6">
        <f t="shared" si="66"/>
        <v>65.413499999999999</v>
      </c>
      <c r="R33" s="6">
        <f t="shared" si="66"/>
        <v>105.6328</v>
      </c>
      <c r="S33" s="6">
        <f t="shared" si="66"/>
        <v>199.23050000000001</v>
      </c>
      <c r="T33" s="6">
        <f t="shared" si="66"/>
        <v>130.26900000000001</v>
      </c>
      <c r="U33" s="6">
        <f t="shared" si="66"/>
        <v>79.449799999999996</v>
      </c>
      <c r="V33" s="6">
        <f t="shared" si="66"/>
        <v>49.231400000000001</v>
      </c>
      <c r="W33" s="67">
        <f t="shared" ref="W33" si="67">+SUM(J25:J33)+SUM(I34:I36)</f>
        <v>49.478400000000001</v>
      </c>
      <c r="X33" s="37"/>
      <c r="Y33" s="78"/>
      <c r="Z33" s="7"/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68">+SUM(C25:C34)+SUM(B35:B36)</f>
        <v>34.583300000000001</v>
      </c>
      <c r="Q34" s="6">
        <f t="shared" si="68"/>
        <v>78.8005</v>
      </c>
      <c r="R34" s="6">
        <f t="shared" si="68"/>
        <v>102.10210000000002</v>
      </c>
      <c r="S34" s="6">
        <f t="shared" si="68"/>
        <v>199.75980000000001</v>
      </c>
      <c r="T34" s="6">
        <f t="shared" si="68"/>
        <v>124.6289</v>
      </c>
      <c r="U34" s="6">
        <f t="shared" si="68"/>
        <v>76.281899999999993</v>
      </c>
      <c r="V34" s="6">
        <f t="shared" si="68"/>
        <v>49.097899999999996</v>
      </c>
      <c r="W34" s="67">
        <f t="shared" ref="W34" si="69">+SUM(J25:J34)+SUM(I35:I36)</f>
        <v>50.554400000000001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70">+SUM(C25:C35)+SUM(B36)</f>
        <v>34.238599999999998</v>
      </c>
      <c r="Q35" s="6">
        <f t="shared" si="70"/>
        <v>83.744199999999992</v>
      </c>
      <c r="R35" s="6">
        <f t="shared" si="70"/>
        <v>106.03630000000001</v>
      </c>
      <c r="S35" s="6">
        <f t="shared" si="70"/>
        <v>204.04540000000003</v>
      </c>
      <c r="T35" s="6">
        <f t="shared" si="70"/>
        <v>119.04559999999999</v>
      </c>
      <c r="U35" s="6">
        <f t="shared" si="70"/>
        <v>72.1892</v>
      </c>
      <c r="V35" s="6">
        <f t="shared" si="70"/>
        <v>47.302300000000002</v>
      </c>
      <c r="W35" s="67">
        <f t="shared" ref="W35" si="71">+SUM(J25:J35)+SUM(I36)</f>
        <v>51.710699999999996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72">+SUM(C25:C36)</f>
        <v>31.2882</v>
      </c>
      <c r="Q36" s="6">
        <f t="shared" si="72"/>
        <v>88.838699999999989</v>
      </c>
      <c r="R36" s="6">
        <f t="shared" si="72"/>
        <v>120.97820000000002</v>
      </c>
      <c r="S36" s="6">
        <f t="shared" si="72"/>
        <v>193.27400000000003</v>
      </c>
      <c r="T36" s="6">
        <f t="shared" si="72"/>
        <v>115.9658</v>
      </c>
      <c r="U36" s="6">
        <f t="shared" si="72"/>
        <v>67.624599999999987</v>
      </c>
      <c r="V36" s="6">
        <f t="shared" si="72"/>
        <v>47.9392</v>
      </c>
      <c r="W36" s="67">
        <f t="shared" ref="W36" si="73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74">SUM(G25:G36)</f>
        <v>115.9658</v>
      </c>
      <c r="H37" s="54">
        <f t="shared" si="74"/>
        <v>67.624599999999987</v>
      </c>
      <c r="I37" s="54">
        <f t="shared" ref="I37:J37" si="75">SUM(I25:I36)</f>
        <v>47.9392</v>
      </c>
      <c r="J37" s="186">
        <f t="shared" si="75"/>
        <v>52.414699999999996</v>
      </c>
      <c r="K37" s="186"/>
      <c r="L37" s="56"/>
      <c r="M37" s="3"/>
      <c r="N37" s="43" t="s">
        <v>14</v>
      </c>
      <c r="O37" s="46">
        <f t="shared" ref="O37:X37" si="76">+AVERAGE(O25:O36)</f>
        <v>56.730109166666658</v>
      </c>
      <c r="P37" s="46">
        <f t="shared" si="76"/>
        <v>40.345728500000007</v>
      </c>
      <c r="Q37" s="46">
        <f t="shared" si="76"/>
        <v>48.933258333333328</v>
      </c>
      <c r="R37" s="46">
        <f t="shared" si="76"/>
        <v>109.63235833333334</v>
      </c>
      <c r="S37" s="46">
        <f t="shared" si="76"/>
        <v>183.2835</v>
      </c>
      <c r="T37" s="46">
        <f t="shared" si="76"/>
        <v>140.94256666666664</v>
      </c>
      <c r="U37" s="226">
        <f t="shared" si="76"/>
        <v>89.155674999999988</v>
      </c>
      <c r="V37" s="226">
        <f t="shared" si="76"/>
        <v>54.57094166666667</v>
      </c>
      <c r="W37" s="220">
        <f t="shared" si="76"/>
        <v>48.243600000000008</v>
      </c>
      <c r="X37" s="197">
        <f t="shared" si="76"/>
        <v>51.020314285714278</v>
      </c>
      <c r="Y37" s="79">
        <f>+X37/W37-1</f>
        <v>5.75561169919796E-2</v>
      </c>
      <c r="Z37" s="75">
        <f>+POWER(X37/S37,0.2)-1</f>
        <v>-0.22567380401784776</v>
      </c>
    </row>
    <row r="38" spans="1:26" ht="25.5" x14ac:dyDescent="0.25">
      <c r="A38" s="57" t="s">
        <v>15</v>
      </c>
      <c r="B38" s="195">
        <f t="shared" ref="B38:G38" si="77">+B37/B$55</f>
        <v>0.2026787968116916</v>
      </c>
      <c r="C38" s="58">
        <f t="shared" si="77"/>
        <v>0.14014124219134566</v>
      </c>
      <c r="D38" s="58">
        <f t="shared" si="77"/>
        <v>0.32263063299937939</v>
      </c>
      <c r="E38" s="58">
        <f t="shared" si="77"/>
        <v>0.38731019981124032</v>
      </c>
      <c r="F38" s="58">
        <f t="shared" si="77"/>
        <v>0.48949049417331714</v>
      </c>
      <c r="G38" s="58">
        <f t="shared" si="77"/>
        <v>0.3448328361022755</v>
      </c>
      <c r="H38" s="58">
        <f t="shared" ref="H38" si="78">+H37/H$55</f>
        <v>0.25529458621268941</v>
      </c>
      <c r="I38" s="58">
        <f t="shared" ref="I38:J38" si="79">+I37/I$55</f>
        <v>0.23953251905574444</v>
      </c>
      <c r="J38" s="189">
        <f t="shared" si="79"/>
        <v>0.25107912187191178</v>
      </c>
      <c r="K38" s="189"/>
      <c r="L38" s="59"/>
      <c r="M38" s="3"/>
      <c r="N38" s="44" t="s">
        <v>15</v>
      </c>
      <c r="O38" s="48">
        <f t="shared" ref="O38:X38" si="80">+O37/O$55</f>
        <v>0.21744435851497057</v>
      </c>
      <c r="P38" s="48">
        <f t="shared" si="80"/>
        <v>0.16805460291824562</v>
      </c>
      <c r="Q38" s="48">
        <f t="shared" si="80"/>
        <v>0.20620104956214164</v>
      </c>
      <c r="R38" s="48">
        <f t="shared" si="80"/>
        <v>0.36569650139359799</v>
      </c>
      <c r="S38" s="48">
        <f t="shared" si="80"/>
        <v>0.48392339046883448</v>
      </c>
      <c r="T38" s="48">
        <f t="shared" si="80"/>
        <v>0.39899542402612287</v>
      </c>
      <c r="U38" s="58">
        <f t="shared" si="80"/>
        <v>0.29700672753205082</v>
      </c>
      <c r="V38" s="58">
        <f t="shared" si="80"/>
        <v>0.24039517900787638</v>
      </c>
      <c r="W38" s="189">
        <f t="shared" si="80"/>
        <v>0.24133975590685505</v>
      </c>
      <c r="X38" s="188">
        <f t="shared" si="80"/>
        <v>0.24813171117491103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81">+D37/C37-1</f>
        <v>1.8393675570982029</v>
      </c>
      <c r="E39" s="62">
        <f t="shared" si="81"/>
        <v>0.36177364144229962</v>
      </c>
      <c r="F39" s="62">
        <f t="shared" si="81"/>
        <v>0.59759361603991468</v>
      </c>
      <c r="G39" s="62">
        <f t="shared" si="81"/>
        <v>-0.39999275639765319</v>
      </c>
      <c r="H39" s="62">
        <f t="shared" si="81"/>
        <v>-0.41685738381488346</v>
      </c>
      <c r="I39" s="62">
        <f t="shared" si="81"/>
        <v>-0.29109820982305246</v>
      </c>
      <c r="J39" s="190">
        <f t="shared" si="81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82">+Q37/P37-1</f>
        <v>0.2128485505803499</v>
      </c>
      <c r="R39" s="50">
        <f t="shared" si="82"/>
        <v>1.2404467241179358</v>
      </c>
      <c r="S39" s="50">
        <f t="shared" si="82"/>
        <v>0.67180112501760614</v>
      </c>
      <c r="T39" s="50">
        <f t="shared" ref="T39" si="83">+T37/S37-1</f>
        <v>-0.23101333908035016</v>
      </c>
      <c r="U39" s="62">
        <f t="shared" ref="U39" si="84">+U37/T37-1</f>
        <v>-0.36743258542427559</v>
      </c>
      <c r="V39" s="62">
        <f t="shared" ref="V39" si="85">+V37/U37-1</f>
        <v>-0.38791398678023947</v>
      </c>
      <c r="W39" s="190">
        <f t="shared" ref="W39:X39" si="86">+W37/V37-1</f>
        <v>-0.11594708600257786</v>
      </c>
      <c r="X39" s="187">
        <f t="shared" si="86"/>
        <v>5.75561169919796E-2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4" t="s">
        <v>32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6"/>
      <c r="M41" s="2"/>
      <c r="N41" s="354" t="s">
        <v>33</v>
      </c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6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88">+P42+1</f>
        <v>2018</v>
      </c>
      <c r="R42" s="64">
        <f t="shared" si="88"/>
        <v>2019</v>
      </c>
      <c r="S42" s="64">
        <f t="shared" si="88"/>
        <v>2020</v>
      </c>
      <c r="T42" s="64">
        <f t="shared" ref="T42" si="89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90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91">+SUM(C43)+SUM(B44:B54)</f>
        <v>260.89483099999995</v>
      </c>
      <c r="Q43" s="6">
        <f t="shared" si="91"/>
        <v>219.06570000000002</v>
      </c>
      <c r="R43" s="6">
        <f t="shared" si="91"/>
        <v>286.14449999999999</v>
      </c>
      <c r="S43" s="6">
        <f t="shared" si="91"/>
        <v>329.16419999999999</v>
      </c>
      <c r="T43" s="6">
        <f t="shared" si="91"/>
        <v>374.79590000000002</v>
      </c>
      <c r="U43" s="6">
        <f t="shared" si="91"/>
        <v>331.03660000000002</v>
      </c>
      <c r="V43" s="6">
        <f t="shared" si="91"/>
        <v>265.77260000000001</v>
      </c>
      <c r="W43" s="67">
        <f t="shared" si="91"/>
        <v>194.83960000000002</v>
      </c>
      <c r="X43" s="37">
        <f t="shared" si="91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90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92">+SUM(C43:C44)+SUM(B45:B54)</f>
        <v>254.45822499999997</v>
      </c>
      <c r="Q44" s="6">
        <f t="shared" si="92"/>
        <v>220.55200000000002</v>
      </c>
      <c r="R44" s="6">
        <f t="shared" si="92"/>
        <v>291.56200000000001</v>
      </c>
      <c r="S44" s="6">
        <f t="shared" si="92"/>
        <v>350.54690000000005</v>
      </c>
      <c r="T44" s="6">
        <f t="shared" si="92"/>
        <v>358.67440000000005</v>
      </c>
      <c r="U44" s="6">
        <f t="shared" si="92"/>
        <v>327.07169999999996</v>
      </c>
      <c r="V44" s="6">
        <f t="shared" si="92"/>
        <v>259.14700000000005</v>
      </c>
      <c r="W44" s="67">
        <f t="shared" ref="W44" si="93">+SUM(J43:J44)+SUM(I45:I54)</f>
        <v>193.81199999999998</v>
      </c>
      <c r="X44" s="37">
        <f t="shared" ref="X44" si="94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90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95">+SUM(C43:C45)+SUM(B46:B54)</f>
        <v>250.43002499999994</v>
      </c>
      <c r="Q45" s="6">
        <f t="shared" si="95"/>
        <v>220.41969999999998</v>
      </c>
      <c r="R45" s="6">
        <f t="shared" si="95"/>
        <v>295.745</v>
      </c>
      <c r="S45" s="6">
        <f t="shared" si="95"/>
        <v>358.06360000000001</v>
      </c>
      <c r="T45" s="6">
        <f t="shared" si="95"/>
        <v>359.67930000000001</v>
      </c>
      <c r="U45" s="6">
        <f t="shared" si="95"/>
        <v>321.62840000000006</v>
      </c>
      <c r="V45" s="6">
        <f t="shared" si="95"/>
        <v>252.3579</v>
      </c>
      <c r="W45" s="67">
        <f t="shared" ref="W45" si="96">+SUM(J43:J45)+SUM(I46:I54)</f>
        <v>190.50119999999998</v>
      </c>
      <c r="X45" s="37">
        <f t="shared" ref="X45" si="97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90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98">+SUM(C43:C46)+SUM(B47:B54)</f>
        <v>245.311195</v>
      </c>
      <c r="Q46" s="6">
        <f t="shared" si="98"/>
        <v>221.22549999999998</v>
      </c>
      <c r="R46" s="6">
        <f t="shared" si="98"/>
        <v>299.99019999999996</v>
      </c>
      <c r="S46" s="6">
        <f t="shared" si="98"/>
        <v>365.7448</v>
      </c>
      <c r="T46" s="6">
        <f t="shared" si="98"/>
        <v>360.92189999999999</v>
      </c>
      <c r="U46" s="6">
        <f t="shared" si="98"/>
        <v>315.56140000000005</v>
      </c>
      <c r="V46" s="6">
        <f t="shared" si="98"/>
        <v>241.90269999999998</v>
      </c>
      <c r="W46" s="67">
        <f t="shared" ref="W46" si="99">+SUM(J43:J46)+SUM(I47:I54)</f>
        <v>195.21569999999997</v>
      </c>
      <c r="X46" s="37">
        <f t="shared" ref="X46" si="100">+SUM(K43:K46)+SUM(J47:J54)</f>
        <v>204.7698</v>
      </c>
      <c r="Y46" s="78">
        <f t="shared" ref="Y46:Y49" si="101">+X46/W46-1</f>
        <v>4.8941248065601517E-2</v>
      </c>
      <c r="Z46" s="7">
        <f t="shared" ref="Z46:Z49" si="102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90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03">+SUM(C43:C47)+SUM(B48:B54)</f>
        <v>239.94017500000001</v>
      </c>
      <c r="Q47" s="6">
        <f t="shared" si="103"/>
        <v>223.10049999999998</v>
      </c>
      <c r="R47" s="6">
        <f t="shared" si="103"/>
        <v>303.63839999999999</v>
      </c>
      <c r="S47" s="6">
        <f t="shared" si="103"/>
        <v>374.46590000000003</v>
      </c>
      <c r="T47" s="6">
        <f t="shared" si="103"/>
        <v>359.69569999999999</v>
      </c>
      <c r="U47" s="6">
        <f t="shared" si="103"/>
        <v>308.19140000000004</v>
      </c>
      <c r="V47" s="6">
        <f t="shared" si="103"/>
        <v>235.60320000000002</v>
      </c>
      <c r="W47" s="67">
        <f t="shared" si="103"/>
        <v>195.93560000000002</v>
      </c>
      <c r="X47" s="37">
        <f t="shared" ref="X47" si="104">+SUM(K43:K47)+SUM(J48:J54)</f>
        <v>203.2705</v>
      </c>
      <c r="Y47" s="78">
        <f t="shared" si="101"/>
        <v>3.7435259340313776E-2</v>
      </c>
      <c r="Z47" s="7">
        <f t="shared" si="102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90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05">+SUM(C43:C48)+SUM(B49:B54)</f>
        <v>240.962118</v>
      </c>
      <c r="Q48" s="6">
        <f t="shared" si="105"/>
        <v>219.79549999999998</v>
      </c>
      <c r="R48" s="6">
        <f t="shared" si="105"/>
        <v>307.76959999999997</v>
      </c>
      <c r="S48" s="6">
        <f t="shared" si="105"/>
        <v>382.36890000000005</v>
      </c>
      <c r="T48" s="6">
        <f t="shared" si="105"/>
        <v>361.95859999999999</v>
      </c>
      <c r="U48" s="6">
        <f t="shared" si="105"/>
        <v>302.66629999999998</v>
      </c>
      <c r="V48" s="6">
        <f t="shared" si="105"/>
        <v>223.49060000000003</v>
      </c>
      <c r="W48" s="67">
        <f t="shared" ref="W48" si="106">+SUM(J43:J48)+SUM(I49:I54)</f>
        <v>194.0616</v>
      </c>
      <c r="X48" s="37">
        <f t="shared" ref="X48" si="107">+SUM(K43:K48)+SUM(J49:J54)</f>
        <v>206.92219999999998</v>
      </c>
      <c r="Y48" s="78">
        <f t="shared" si="101"/>
        <v>6.6270709918912152E-2</v>
      </c>
      <c r="Z48" s="7">
        <f t="shared" si="102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08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09">+SUM(C43:C49)+SUM(B50:B54)</f>
        <v>240.43673800000002</v>
      </c>
      <c r="Q49" s="6">
        <f t="shared" si="109"/>
        <v>225.05840000000001</v>
      </c>
      <c r="R49" s="6">
        <f t="shared" si="109"/>
        <v>309.34969999999998</v>
      </c>
      <c r="S49" s="6">
        <f t="shared" si="109"/>
        <v>390.51780000000002</v>
      </c>
      <c r="T49" s="6">
        <f t="shared" si="109"/>
        <v>355.38159999999999</v>
      </c>
      <c r="U49" s="6">
        <f t="shared" si="109"/>
        <v>294.03829999999999</v>
      </c>
      <c r="V49" s="6">
        <f t="shared" si="109"/>
        <v>221.48390000000001</v>
      </c>
      <c r="W49" s="67">
        <f t="shared" ref="W49" si="110">+SUM(J43:J49)+SUM(I50:I54)</f>
        <v>201.00190000000001</v>
      </c>
      <c r="X49" s="37">
        <f t="shared" ref="X49" si="111">+SUM(K43:K49)+SUM(J50:J54)</f>
        <v>201.74020000000002</v>
      </c>
      <c r="Y49" s="78">
        <f t="shared" si="101"/>
        <v>3.6730996075162725E-3</v>
      </c>
      <c r="Z49" s="7">
        <f t="shared" si="102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/>
      <c r="L50" s="7"/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12">+SUM(C43:C50)+SUM(B51:B54)</f>
        <v>235.73770000000002</v>
      </c>
      <c r="Q50" s="6">
        <f t="shared" si="112"/>
        <v>236.99699999999999</v>
      </c>
      <c r="R50" s="6">
        <f t="shared" si="112"/>
        <v>303.65629999999999</v>
      </c>
      <c r="S50" s="6">
        <f t="shared" si="112"/>
        <v>393.00110000000006</v>
      </c>
      <c r="T50" s="6">
        <f t="shared" si="112"/>
        <v>350.04399999999998</v>
      </c>
      <c r="U50" s="6">
        <f t="shared" si="112"/>
        <v>291.91840000000002</v>
      </c>
      <c r="V50" s="6">
        <f t="shared" si="112"/>
        <v>212.4932</v>
      </c>
      <c r="W50" s="67">
        <f t="shared" ref="W50" si="113">+SUM(J43:J50)+SUM(I51:I54)</f>
        <v>205.55099999999999</v>
      </c>
      <c r="X50" s="37"/>
      <c r="Y50" s="78"/>
      <c r="Z50" s="7"/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/>
      <c r="L51" s="7"/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14">+SUM(C43:C51)+SUM(B52:B54)</f>
        <v>232.11310000000003</v>
      </c>
      <c r="Q51" s="6">
        <f t="shared" si="114"/>
        <v>251.20729999999998</v>
      </c>
      <c r="R51" s="6">
        <f t="shared" si="114"/>
        <v>295.96679999999998</v>
      </c>
      <c r="S51" s="6">
        <f t="shared" si="114"/>
        <v>400.00340000000006</v>
      </c>
      <c r="T51" s="6">
        <f t="shared" si="114"/>
        <v>345.41199999999998</v>
      </c>
      <c r="U51" s="6">
        <f t="shared" si="114"/>
        <v>288.83389999999997</v>
      </c>
      <c r="V51" s="6">
        <f t="shared" si="114"/>
        <v>206.53579999999999</v>
      </c>
      <c r="W51" s="67">
        <f t="shared" ref="W51" si="115">+SUM(J43:J51)+SUM(I52:I54)</f>
        <v>204.67140000000001</v>
      </c>
      <c r="X51" s="37"/>
      <c r="Y51" s="78"/>
      <c r="Z51" s="7"/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16">+SUM(C43:C52)+SUM(B53:B54)</f>
        <v>229.12110000000001</v>
      </c>
      <c r="Q52" s="6">
        <f t="shared" si="116"/>
        <v>264.60699999999997</v>
      </c>
      <c r="R52" s="6">
        <f t="shared" si="116"/>
        <v>293.89699999999999</v>
      </c>
      <c r="S52" s="6">
        <f t="shared" si="116"/>
        <v>400.43730000000005</v>
      </c>
      <c r="T52" s="6">
        <f t="shared" si="116"/>
        <v>339.6506</v>
      </c>
      <c r="U52" s="6">
        <f t="shared" si="116"/>
        <v>283.06180000000001</v>
      </c>
      <c r="V52" s="6">
        <f t="shared" si="116"/>
        <v>204.12139999999999</v>
      </c>
      <c r="W52" s="67">
        <f t="shared" ref="W52" si="117">+SUM(J43:J52)+SUM(I53:I54)</f>
        <v>206.35140000000001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18">+SUM(C43:C53)+SUM(B54)</f>
        <v>228.23430000000002</v>
      </c>
      <c r="Q53" s="6">
        <f t="shared" si="118"/>
        <v>270.31589999999994</v>
      </c>
      <c r="R53" s="6">
        <f t="shared" si="118"/>
        <v>297.41239999999999</v>
      </c>
      <c r="S53" s="6">
        <f t="shared" si="118"/>
        <v>405.77720000000005</v>
      </c>
      <c r="T53" s="6">
        <f t="shared" si="118"/>
        <v>336.41309999999999</v>
      </c>
      <c r="U53" s="6">
        <f t="shared" si="118"/>
        <v>273.27120000000002</v>
      </c>
      <c r="V53" s="6">
        <f t="shared" si="118"/>
        <v>201.01689999999999</v>
      </c>
      <c r="W53" s="67">
        <f t="shared" ref="W53" si="119">+SUM(J43:J53)+SUM(I54)</f>
        <v>208.09010000000001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20">+SUM(C43:C54)</f>
        <v>223.26190000000003</v>
      </c>
      <c r="Q54" s="6">
        <f t="shared" si="120"/>
        <v>275.35729999999995</v>
      </c>
      <c r="R54" s="6">
        <f t="shared" si="120"/>
        <v>312.35480000000001</v>
      </c>
      <c r="S54" s="6">
        <f t="shared" si="120"/>
        <v>394.84730000000008</v>
      </c>
      <c r="T54" s="6">
        <f t="shared" si="120"/>
        <v>336.29569999999995</v>
      </c>
      <c r="U54" s="6">
        <f t="shared" si="120"/>
        <v>264.88850000000002</v>
      </c>
      <c r="V54" s="6">
        <f t="shared" si="120"/>
        <v>200.13650000000001</v>
      </c>
      <c r="W54" s="67">
        <f t="shared" ref="W54" si="121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22">SUM(C43:C54)</f>
        <v>223.26190000000003</v>
      </c>
      <c r="D55" s="54">
        <f t="shared" si="122"/>
        <v>275.35729999999995</v>
      </c>
      <c r="E55" s="54">
        <f t="shared" si="122"/>
        <v>312.35480000000001</v>
      </c>
      <c r="F55" s="54">
        <f t="shared" si="122"/>
        <v>394.84730000000008</v>
      </c>
      <c r="G55" s="54">
        <f t="shared" si="122"/>
        <v>336.29569999999995</v>
      </c>
      <c r="H55" s="54">
        <f t="shared" ref="H55:I55" si="123">SUM(H43:H54)</f>
        <v>264.88850000000002</v>
      </c>
      <c r="I55" s="54">
        <f t="shared" si="123"/>
        <v>200.13650000000001</v>
      </c>
      <c r="J55" s="186">
        <f t="shared" ref="J55" si="124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25">+AVERAGE(Q43:Q54)</f>
        <v>237.30848333333333</v>
      </c>
      <c r="R55" s="46">
        <f t="shared" si="125"/>
        <v>299.79055833333331</v>
      </c>
      <c r="S55" s="46">
        <f t="shared" si="125"/>
        <v>378.74486666666672</v>
      </c>
      <c r="T55" s="46">
        <f t="shared" si="125"/>
        <v>353.2435666666666</v>
      </c>
      <c r="U55" s="226">
        <f t="shared" si="125"/>
        <v>300.18065833333338</v>
      </c>
      <c r="V55" s="226">
        <f t="shared" si="125"/>
        <v>227.00514166666667</v>
      </c>
      <c r="W55" s="220">
        <f t="shared" si="125"/>
        <v>199.8991</v>
      </c>
      <c r="X55" s="197">
        <f t="shared" si="125"/>
        <v>205.61787142857142</v>
      </c>
      <c r="Y55" s="79">
        <f>+X55/W55-1</f>
        <v>2.8608290025174732E-2</v>
      </c>
      <c r="Z55" s="75">
        <f>+POWER(X55/S55,0.2)-1</f>
        <v>-0.11500091693231473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26">+D55/C55-1</f>
        <v>0.23333761828596788</v>
      </c>
      <c r="E56" s="121">
        <f t="shared" si="126"/>
        <v>0.13436179102569668</v>
      </c>
      <c r="F56" s="121">
        <f t="shared" si="126"/>
        <v>0.26409871082499792</v>
      </c>
      <c r="G56" s="199">
        <f t="shared" ref="G56:J56" si="127">+G54/F54-1</f>
        <v>-4.4936422999487524E-3</v>
      </c>
      <c r="H56" s="124">
        <f t="shared" si="127"/>
        <v>-0.32230740837575567</v>
      </c>
      <c r="I56" s="199">
        <f t="shared" si="127"/>
        <v>-4.9949789228229124E-2</v>
      </c>
      <c r="J56" s="228">
        <f t="shared" si="127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28">+Q55/P55-1</f>
        <v>-1.1524034428714414E-2</v>
      </c>
      <c r="R56" s="50">
        <f t="shared" si="128"/>
        <v>0.26329473823417882</v>
      </c>
      <c r="S56" s="50">
        <f t="shared" si="128"/>
        <v>0.2633648930515855</v>
      </c>
      <c r="T56" s="50">
        <f t="shared" si="128"/>
        <v>-6.7331077578521525E-2</v>
      </c>
      <c r="U56" s="62">
        <f t="shared" si="128"/>
        <v>-0.15021620587192541</v>
      </c>
      <c r="V56" s="62">
        <f t="shared" si="128"/>
        <v>-0.24377159099108081</v>
      </c>
      <c r="W56" s="190">
        <f t="shared" si="128"/>
        <v>-0.11940717054977135</v>
      </c>
      <c r="X56" s="190">
        <f t="shared" si="128"/>
        <v>2.8608290025174732E-2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29">+C59+1</f>
        <v>2018</v>
      </c>
      <c r="E59" s="82">
        <f t="shared" ref="E59" si="130">+D59+1</f>
        <v>2019</v>
      </c>
      <c r="F59" s="82">
        <f t="shared" ref="F59" si="131">+E59+1</f>
        <v>2020</v>
      </c>
      <c r="G59" s="82">
        <f t="shared" ref="G59" si="132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33">+P59+1</f>
        <v>2018</v>
      </c>
      <c r="R59" s="82">
        <f t="shared" ref="R59" si="134">+Q59+1</f>
        <v>2019</v>
      </c>
      <c r="S59" s="82">
        <f t="shared" ref="S59" si="135">+R59+1</f>
        <v>2020</v>
      </c>
      <c r="T59" s="82">
        <f t="shared" ref="T59" si="136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37">+SUM(D60)+SUM(C61:C71)</f>
        <v>763.17699999999991</v>
      </c>
      <c r="R60" s="6">
        <f t="shared" ref="R60" si="138">+SUM(E60)+SUM(D61:D71)</f>
        <v>755.69799999999998</v>
      </c>
      <c r="S60" s="6">
        <f t="shared" ref="S60" si="139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40">+SUM(D60:D61)+SUM(C62:C71)</f>
        <v>769.625</v>
      </c>
      <c r="R61" s="6">
        <f t="shared" ref="R61" si="141">+SUM(E60:E61)+SUM(D62:D71)</f>
        <v>758.66199999999992</v>
      </c>
      <c r="S61" s="6">
        <f t="shared" ref="S61" si="142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43">+SUM(I60:I61)+SUM(H62:H71)</f>
        <v>760.68300000000011</v>
      </c>
      <c r="W61" s="105">
        <f t="shared" ref="W61" si="144">+SUM(J60:J61)+SUM(I62:I71)</f>
        <v>629.05000000000007</v>
      </c>
      <c r="X61" s="90">
        <f t="shared" ref="X61" si="145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46">+SUM(D60:D62)+SUM(C63:C71)</f>
        <v>767.91799999999989</v>
      </c>
      <c r="R62" s="6">
        <f t="shared" ref="R62" si="147">+SUM(E60:E62)+SUM(D63:D71)</f>
        <v>752.82400000000007</v>
      </c>
      <c r="S62" s="6">
        <f t="shared" ref="S62" si="148">+SUM(F60:F62)+SUM(E63:E71)</f>
        <v>720.08300000000008</v>
      </c>
      <c r="T62" s="6">
        <f t="shared" ref="T62" si="149">+SUM(G60:G62)+SUM(F63:F71)</f>
        <v>730.19999999999993</v>
      </c>
      <c r="U62" s="6">
        <f>+SUM(H60:H62)+SUM(G63:G71)</f>
        <v>813.96199999999999</v>
      </c>
      <c r="V62" s="6">
        <f t="shared" ref="V62" si="150">+SUM(I60:I62)+SUM(H63:H71)</f>
        <v>753.14799999999991</v>
      </c>
      <c r="W62" s="67">
        <f t="shared" ref="W62" si="151">+SUM(J60:J62)+SUM(I63:I71)</f>
        <v>618.79999999999995</v>
      </c>
      <c r="X62" s="37">
        <f t="shared" ref="X62" si="152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53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54">+SUM(D60:D63)+SUM(C64:C71)</f>
        <v>764.98299999999995</v>
      </c>
      <c r="R63" s="6">
        <f t="shared" ref="R63" si="155">+SUM(E60:E63)+SUM(D64:D71)</f>
        <v>759.01700000000005</v>
      </c>
      <c r="S63" s="6">
        <f t="shared" ref="S63" si="156">+SUM(F60:F63)+SUM(E64:E71)</f>
        <v>717.09999999999991</v>
      </c>
      <c r="T63" s="6">
        <f t="shared" ref="T63" si="157">+SUM(G60:G63)+SUM(F64:F71)</f>
        <v>734.40899999999999</v>
      </c>
      <c r="U63" s="6">
        <f>+SUM(H60:H63)+SUM(G64:G71)</f>
        <v>815.39199999999994</v>
      </c>
      <c r="V63" s="6">
        <f t="shared" ref="V63" si="158">+SUM(I60:I63)+SUM(H64:H71)</f>
        <v>733.93100000000004</v>
      </c>
      <c r="W63" s="105">
        <f t="shared" ref="W63:X63" si="159">+SUM(J60:J63)+SUM(I64:I71)</f>
        <v>631.46199999999999</v>
      </c>
      <c r="X63" s="90">
        <f t="shared" si="159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53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60">+SUM(D60:D64)+SUM(C65:C71)</f>
        <v>764.94799999999998</v>
      </c>
      <c r="R64" s="6">
        <f t="shared" ref="R64" si="161">+SUM(E60:E64)+SUM(D65:D71)</f>
        <v>761.67200000000003</v>
      </c>
      <c r="S64" s="6">
        <f t="shared" ref="S64" si="162">+SUM(F60:F64)+SUM(E65:E71)</f>
        <v>703.0150000000001</v>
      </c>
      <c r="T64" s="6">
        <f t="shared" ref="T64" si="163">+SUM(G60:G64)+SUM(F65:F71)</f>
        <v>747.08600000000001</v>
      </c>
      <c r="U64" s="6">
        <f>+SUM(H60:H64)+SUM(G65:G71)</f>
        <v>821.58400000000006</v>
      </c>
      <c r="V64" s="6">
        <f t="shared" ref="V64" si="164">+SUM(I60:I64)+SUM(H65:H71)</f>
        <v>716.03200000000004</v>
      </c>
      <c r="W64" s="105">
        <f t="shared" ref="W64" si="165">+SUM(J60:J64)+SUM(I65:I71)</f>
        <v>635.1389999999999</v>
      </c>
      <c r="X64" s="90">
        <f t="shared" ref="X64" si="166">+SUM(K60:K64)+SUM(J65:J71)</f>
        <v>654.87699999999995</v>
      </c>
      <c r="Y64" s="117">
        <f t="shared" ref="Y64:Y66" si="167">+X64/W64-1</f>
        <v>3.1076661959035912E-2</v>
      </c>
      <c r="Z64" s="113">
        <f t="shared" ref="Z64:Z66" si="168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69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70">+SUM(D60:D65)+SUM(C66:C71)</f>
        <v>758.0619999999999</v>
      </c>
      <c r="R65" s="6">
        <f t="shared" ref="R65" si="171">+SUM(E60:E65)+SUM(D66:D71)</f>
        <v>757.10000000000014</v>
      </c>
      <c r="S65" s="6">
        <f t="shared" ref="S65" si="172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73">+SUM(I60:I65)+SUM(H66:H71)</f>
        <v>691.67900000000009</v>
      </c>
      <c r="W65" s="105">
        <f t="shared" ref="W65" si="174">+SUM(J60:J65)+SUM(I66:I71)</f>
        <v>626.7170000000001</v>
      </c>
      <c r="X65" s="105">
        <f t="shared" ref="X65" si="175">+SUM(K60:K65)+SUM(J66:J71)</f>
        <v>661.78</v>
      </c>
      <c r="Y65" s="117">
        <f t="shared" si="167"/>
        <v>5.5947102121052916E-2</v>
      </c>
      <c r="Z65" s="113">
        <f t="shared" si="168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176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77">+SUM(C60:C66)+SUM(B67:B71)</f>
        <v>775.05800000000011</v>
      </c>
      <c r="Q66" s="6">
        <f t="shared" si="177"/>
        <v>765.84799999999996</v>
      </c>
      <c r="R66" s="6">
        <f t="shared" si="177"/>
        <v>749.99099999999999</v>
      </c>
      <c r="S66" s="6">
        <f t="shared" si="177"/>
        <v>704.149</v>
      </c>
      <c r="T66" s="6">
        <f t="shared" si="177"/>
        <v>778.48500000000001</v>
      </c>
      <c r="U66" s="6">
        <f t="shared" si="177"/>
        <v>802.99499999999989</v>
      </c>
      <c r="V66" s="6">
        <f t="shared" ref="V66" si="178">+SUM(I60:I66)+SUM(H67:H71)</f>
        <v>688.471</v>
      </c>
      <c r="W66" s="105">
        <f t="shared" ref="W66" si="179">+SUM(J60:J66)+SUM(I67:I71)</f>
        <v>646.81799999999998</v>
      </c>
      <c r="X66" s="90">
        <f t="shared" ref="X66" si="180">+SUM(K60:K66)+SUM(J67:J71)</f>
        <v>648.53499999999997</v>
      </c>
      <c r="Y66" s="117">
        <f t="shared" si="167"/>
        <v>2.6545334236214302E-3</v>
      </c>
      <c r="Z66" s="113">
        <f t="shared" si="168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/>
      <c r="L67" s="91"/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81">+SUM(F60:F67)+SUM(E68:E71)</f>
        <v>690.25</v>
      </c>
      <c r="T67" s="6">
        <f t="shared" ref="T67" si="182">+SUM(G60:G67)+SUM(F68:F71)</f>
        <v>788.01</v>
      </c>
      <c r="U67" s="6">
        <f>+SUM(H60:H67)+SUM(G68:G71)</f>
        <v>813.54100000000005</v>
      </c>
      <c r="V67" s="6">
        <f t="shared" ref="V67" si="183">+SUM(I60:I67)+SUM(H68:H71)</f>
        <v>664.10599999999999</v>
      </c>
      <c r="W67" s="105">
        <f t="shared" ref="W67" si="184">+SUM(J60:J67)+SUM(I68:I71)</f>
        <v>656.31700000000001</v>
      </c>
      <c r="X67" s="90"/>
      <c r="Y67" s="117"/>
      <c r="Z67" s="113"/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/>
      <c r="L68" s="91"/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185">+SUM(C60:C68)+SUM(B69:B71)</f>
        <v>761.68400000000008</v>
      </c>
      <c r="Q68" s="6">
        <f t="shared" si="185"/>
        <v>760.52499999999998</v>
      </c>
      <c r="R68" s="6">
        <f t="shared" si="185"/>
        <v>744.49599999999998</v>
      </c>
      <c r="S68" s="6">
        <f t="shared" si="185"/>
        <v>701.48699999999997</v>
      </c>
      <c r="T68" s="6">
        <f t="shared" si="185"/>
        <v>799.995</v>
      </c>
      <c r="U68" s="6">
        <f t="shared" si="185"/>
        <v>802.96600000000001</v>
      </c>
      <c r="V68" s="6">
        <f t="shared" ref="V68" si="186">+SUM(I60:I68)+SUM(H69:H71)</f>
        <v>653.36799999999994</v>
      </c>
      <c r="W68" s="105">
        <f t="shared" ref="W68" si="187">+SUM(J60:J68)+SUM(I69:I71)</f>
        <v>657.9190000000001</v>
      </c>
      <c r="X68" s="90"/>
      <c r="Y68" s="117"/>
      <c r="Z68" s="113"/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188">+SUM(C60:C69)+SUM(B70:B71)</f>
        <v>765.67700000000002</v>
      </c>
      <c r="Q69" s="6">
        <f t="shared" si="188"/>
        <v>757.452</v>
      </c>
      <c r="R69" s="6">
        <f t="shared" si="188"/>
        <v>739.9129999999999</v>
      </c>
      <c r="S69" s="6">
        <f t="shared" si="188"/>
        <v>703.46299999999997</v>
      </c>
      <c r="T69" s="6">
        <f t="shared" si="188"/>
        <v>802.01700000000005</v>
      </c>
      <c r="U69" s="6">
        <f t="shared" si="188"/>
        <v>797.43100000000004</v>
      </c>
      <c r="V69" s="6">
        <f t="shared" ref="V69" si="189">+SUM(I60:I69)+SUM(H70:H71)</f>
        <v>647.02</v>
      </c>
      <c r="W69" s="105">
        <f t="shared" ref="W69" si="190">+SUM(J60:J69)+SUM(I70:I71)</f>
        <v>661.97900000000004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191">+SUM(C60:C70)+SUM(B71)</f>
        <v>765.65600000000006</v>
      </c>
      <c r="Q70" s="6">
        <f t="shared" si="191"/>
        <v>758.17700000000002</v>
      </c>
      <c r="R70" s="6">
        <f t="shared" si="191"/>
        <v>734.29499999999985</v>
      </c>
      <c r="S70" s="6">
        <f t="shared" si="191"/>
        <v>706.95099999999991</v>
      </c>
      <c r="T70" s="6">
        <f t="shared" si="191"/>
        <v>814.1160000000001</v>
      </c>
      <c r="U70" s="6">
        <f t="shared" si="191"/>
        <v>776.39400000000001</v>
      </c>
      <c r="V70" s="6">
        <f t="shared" ref="V70" si="192">+SUM(I60:I70)+SUM(H71)</f>
        <v>645.173</v>
      </c>
      <c r="W70" s="105">
        <f t="shared" ref="W70" si="193">+SUM(J60:J70)+SUM(I71)</f>
        <v>664.82299999999998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194">+SUM(C60:C71)</f>
        <v>763.95600000000002</v>
      </c>
      <c r="Q71" s="6">
        <f t="shared" si="194"/>
        <v>754.053</v>
      </c>
      <c r="R71" s="6">
        <f t="shared" si="194"/>
        <v>731.81399999999985</v>
      </c>
      <c r="S71" s="6">
        <f t="shared" si="194"/>
        <v>705.26699999999994</v>
      </c>
      <c r="T71" s="6">
        <f t="shared" si="194"/>
        <v>822.59800000000007</v>
      </c>
      <c r="U71" s="6">
        <f t="shared" si="194"/>
        <v>767.39300000000003</v>
      </c>
      <c r="V71" s="6">
        <f t="shared" ref="V71" si="195">+SUM(I60:I71)</f>
        <v>642.423</v>
      </c>
      <c r="W71" s="105">
        <f t="shared" ref="W71" si="196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197">SUM(C60:C71)</f>
        <v>763.95600000000002</v>
      </c>
      <c r="D72" s="83">
        <f t="shared" si="197"/>
        <v>754.053</v>
      </c>
      <c r="E72" s="83">
        <f t="shared" si="197"/>
        <v>731.81399999999985</v>
      </c>
      <c r="F72" s="83">
        <f t="shared" si="197"/>
        <v>705.26699999999994</v>
      </c>
      <c r="G72" s="83">
        <f t="shared" ref="G72:H72" si="198">SUM(G60:G71)</f>
        <v>822.59800000000007</v>
      </c>
      <c r="H72" s="83">
        <f t="shared" si="198"/>
        <v>767.39300000000003</v>
      </c>
      <c r="I72" s="83">
        <f t="shared" ref="I72:J72" si="199">SUM(I60:I71)</f>
        <v>642.423</v>
      </c>
      <c r="J72" s="83">
        <f t="shared" si="199"/>
        <v>664.84299999999996</v>
      </c>
      <c r="K72" s="106"/>
      <c r="L72" s="94"/>
      <c r="M72" s="3"/>
      <c r="N72" s="92" t="s">
        <v>14</v>
      </c>
      <c r="O72" s="106">
        <f t="shared" ref="O72" si="200">+AVERAGE(O60:O71)</f>
        <v>753.00548916666651</v>
      </c>
      <c r="P72" s="83">
        <f>+AVERAGE(P60:P71)</f>
        <v>766.92178666666678</v>
      </c>
      <c r="Q72" s="83">
        <f t="shared" ref="Q72:V72" si="201">+AVERAGE(Q60:Q71)</f>
        <v>762.70949999999993</v>
      </c>
      <c r="R72" s="83">
        <f t="shared" si="201"/>
        <v>749.11141666666663</v>
      </c>
      <c r="S72" s="83">
        <f t="shared" si="201"/>
        <v>708.90483333333339</v>
      </c>
      <c r="T72" s="83">
        <f t="shared" si="201"/>
        <v>767.43916666666667</v>
      </c>
      <c r="U72" s="83">
        <f t="shared" si="201"/>
        <v>805.20375000000013</v>
      </c>
      <c r="V72" s="83">
        <f t="shared" si="201"/>
        <v>697.41949999999997</v>
      </c>
      <c r="W72" s="107">
        <f t="shared" ref="W72:X72" si="202">+AVERAGE(W60:W71)</f>
        <v>643.71525000000008</v>
      </c>
      <c r="X72" s="107">
        <f t="shared" si="202"/>
        <v>659.2752857142857</v>
      </c>
      <c r="Y72" s="119">
        <f>+X72/W72-1</f>
        <v>2.4172234096187184E-2</v>
      </c>
      <c r="Z72" s="173">
        <f>+POWER(X72/S72,0.2)-1</f>
        <v>-1.4411172723222343E-2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03">+C72/C$108</f>
        <v>0.94360872073131419</v>
      </c>
      <c r="D73" s="84">
        <f t="shared" si="203"/>
        <v>0.91831246978245817</v>
      </c>
      <c r="E73" s="84">
        <f t="shared" si="203"/>
        <v>0.91606258347739089</v>
      </c>
      <c r="F73" s="84">
        <f t="shared" si="203"/>
        <v>0.89132031023897285</v>
      </c>
      <c r="G73" s="84">
        <f t="shared" ref="G73:H73" si="204">+G72/G$108</f>
        <v>0.91664995163785012</v>
      </c>
      <c r="H73" s="84">
        <f t="shared" si="204"/>
        <v>0.93037406858691929</v>
      </c>
      <c r="I73" s="84">
        <f t="shared" ref="I73:J73" si="205">+I72/I$108</f>
        <v>0.93041406578127928</v>
      </c>
      <c r="J73" s="84">
        <f t="shared" si="205"/>
        <v>0.92711438970311366</v>
      </c>
      <c r="K73" s="108"/>
      <c r="L73" s="97"/>
      <c r="M73" s="3"/>
      <c r="N73" s="95" t="s">
        <v>15</v>
      </c>
      <c r="O73" s="108">
        <f t="shared" ref="O73:V73" si="206">+O72/O$108</f>
        <v>0.932439993468551</v>
      </c>
      <c r="P73" s="84">
        <f t="shared" si="206"/>
        <v>0.93793563280268333</v>
      </c>
      <c r="Q73" s="84">
        <f t="shared" si="206"/>
        <v>0.93639980225394503</v>
      </c>
      <c r="R73" s="84">
        <f t="shared" si="206"/>
        <v>0.91408651211126823</v>
      </c>
      <c r="S73" s="84">
        <f t="shared" si="206"/>
        <v>0.89844459925132236</v>
      </c>
      <c r="T73" s="84">
        <f t="shared" si="206"/>
        <v>0.90569617906550892</v>
      </c>
      <c r="U73" s="84">
        <f t="shared" si="206"/>
        <v>0.92452768446333988</v>
      </c>
      <c r="V73" s="84">
        <f t="shared" si="206"/>
        <v>0.93207672957221654</v>
      </c>
      <c r="W73" s="109">
        <f t="shared" ref="W73:X73" si="207">+W72/W$108</f>
        <v>0.92981609953048061</v>
      </c>
      <c r="X73" s="109">
        <f t="shared" si="207"/>
        <v>0.9289303685727921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08">+D72/C72-1</f>
        <v>-1.296278843284171E-2</v>
      </c>
      <c r="E74" s="85">
        <f t="shared" ref="E74" si="209">+E72/D72-1</f>
        <v>-2.949262187140711E-2</v>
      </c>
      <c r="F74" s="85">
        <f t="shared" ref="F74:J74" si="210">+F72/E72-1</f>
        <v>-3.6275611015913811E-2</v>
      </c>
      <c r="G74" s="85">
        <f t="shared" si="210"/>
        <v>0.16636394443522828</v>
      </c>
      <c r="H74" s="85">
        <f t="shared" si="210"/>
        <v>-6.7110544883406065E-2</v>
      </c>
      <c r="I74" s="85">
        <f t="shared" si="210"/>
        <v>-0.16285006509050781</v>
      </c>
      <c r="J74" s="85">
        <f t="shared" si="210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11">+Q72/P72-1</f>
        <v>-5.4924592571232722E-3</v>
      </c>
      <c r="R74" s="85">
        <f t="shared" ref="R74" si="212">+R72/Q72-1</f>
        <v>-1.7828653416973705E-2</v>
      </c>
      <c r="S74" s="85">
        <f t="shared" ref="S74" si="213">+S72/R72-1</f>
        <v>-5.3672367606198201E-2</v>
      </c>
      <c r="T74" s="85">
        <f t="shared" ref="T74" si="214">+T72/S72-1</f>
        <v>8.2570086393824793E-2</v>
      </c>
      <c r="U74" s="85">
        <f t="shared" ref="U74" si="215">+U72/T72-1</f>
        <v>4.9208569191695029E-2</v>
      </c>
      <c r="V74" s="85">
        <f t="shared" ref="V74:X74" si="216">+V72/U72-1</f>
        <v>-0.13385959764842148</v>
      </c>
      <c r="W74" s="111">
        <f t="shared" si="216"/>
        <v>-7.7004227728074581E-2</v>
      </c>
      <c r="X74" s="111">
        <f t="shared" si="216"/>
        <v>2.4172234096187184E-2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17">+C77+1</f>
        <v>2018</v>
      </c>
      <c r="E77" s="82">
        <f t="shared" ref="E77" si="218">+D77+1</f>
        <v>2019</v>
      </c>
      <c r="F77" s="82">
        <f t="shared" ref="F77" si="219">+E77+1</f>
        <v>2020</v>
      </c>
      <c r="G77" s="82">
        <f t="shared" ref="G77" si="220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21">+P77+1</f>
        <v>2018</v>
      </c>
      <c r="R77" s="82">
        <f t="shared" ref="R77" si="222">+Q77+1</f>
        <v>2019</v>
      </c>
      <c r="S77" s="82">
        <f t="shared" ref="S77" si="223">+R77+1</f>
        <v>2020</v>
      </c>
      <c r="T77" s="82">
        <f t="shared" ref="T77" si="224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25">+SUM(D78)+SUM(C79:C89)</f>
        <v>41.323999999999998</v>
      </c>
      <c r="R78" s="6">
        <f t="shared" ref="R78" si="226">+SUM(E78)+SUM(D79:D89)</f>
        <v>71.009999999999991</v>
      </c>
      <c r="S78" s="6">
        <f t="shared" ref="S78" si="227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28">+SUM(D78:D79)+SUM(C80:C89)</f>
        <v>42.918999999999997</v>
      </c>
      <c r="R79" s="6">
        <f t="shared" ref="R79" si="229">+SUM(E78:E79)+SUM(D80:D89)</f>
        <v>71.216999999999999</v>
      </c>
      <c r="S79" s="6">
        <f t="shared" ref="S79" si="230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31">+SUM(I78:I79)+SUM(H80:H89)</f>
        <v>55.915999999999997</v>
      </c>
      <c r="W79" s="105">
        <f t="shared" ref="W79" si="232">+SUM(J78:J79)+SUM(I80:I89)</f>
        <v>46.932000000000002</v>
      </c>
      <c r="X79" s="90">
        <f t="shared" ref="X79" si="233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34">+SUM(D78:D80)+SUM(C81:C89)</f>
        <v>44.146000000000001</v>
      </c>
      <c r="R80" s="6">
        <f t="shared" ref="R80" si="235">+SUM(E78:E80)+SUM(D81:D89)</f>
        <v>72.753</v>
      </c>
      <c r="S80" s="6">
        <f t="shared" ref="S80" si="236">+SUM(F78:F80)+SUM(E81:E89)</f>
        <v>74.298000000000002</v>
      </c>
      <c r="T80" s="6">
        <f t="shared" ref="T80" si="237">+SUM(G78:G80)+SUM(F81:F89)</f>
        <v>80.295999999999992</v>
      </c>
      <c r="U80" s="6">
        <f>+SUM(H78:H80)+SUM(G81:G89)</f>
        <v>71.988000000000014</v>
      </c>
      <c r="V80" s="6">
        <f t="shared" ref="V80" si="238">+SUM(I78:I80)+SUM(H81:H89)</f>
        <v>54.347000000000001</v>
      </c>
      <c r="W80" s="67">
        <f t="shared" ref="W80" si="239">+SUM(J78:J80)+SUM(I81:I89)</f>
        <v>46.05</v>
      </c>
      <c r="X80" s="37">
        <f t="shared" ref="X80" si="240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41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42">+SUM(D78:D81)+SUM(C82:C89)</f>
        <v>46.423000000000002</v>
      </c>
      <c r="R81" s="6">
        <f t="shared" ref="R81" si="243">+SUM(E78:E81)+SUM(D82:D89)</f>
        <v>72.27000000000001</v>
      </c>
      <c r="S81" s="6">
        <f t="shared" ref="S81" si="244">+SUM(F78:F81)+SUM(E82:E89)</f>
        <v>75.545999999999992</v>
      </c>
      <c r="T81" s="6">
        <f t="shared" ref="T81" si="245">+SUM(G78:G81)+SUM(F82:F89)</f>
        <v>82.766999999999996</v>
      </c>
      <c r="U81" s="6">
        <f>+SUM(H78:H81)+SUM(G82:G89)</f>
        <v>70.272999999999996</v>
      </c>
      <c r="V81" s="6">
        <f t="shared" ref="V81" si="246">+SUM(I78:I81)+SUM(H82:H89)</f>
        <v>51.875</v>
      </c>
      <c r="W81" s="105">
        <f t="shared" ref="W81" si="247">+SUM(J78:J81)+SUM(I82:I89)</f>
        <v>46.989000000000004</v>
      </c>
      <c r="X81" s="90">
        <f t="shared" ref="X81" si="248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41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49">+SUM(D78:D82)+SUM(C83:C89)</f>
        <v>48.558999999999997</v>
      </c>
      <c r="R82" s="6">
        <f t="shared" ref="R82" si="250">+SUM(E78:E82)+SUM(D83:D89)</f>
        <v>72.22399999999999</v>
      </c>
      <c r="S82" s="6">
        <f t="shared" ref="S82" si="251">+SUM(F78:F82)+SUM(E83:E89)</f>
        <v>77.724999999999994</v>
      </c>
      <c r="T82" s="6">
        <f t="shared" ref="T82" si="252">+SUM(G78:G82)+SUM(F83:F89)</f>
        <v>84.507000000000005</v>
      </c>
      <c r="U82" s="6">
        <f>+SUM(H78:H82)+SUM(G83:G89)</f>
        <v>66.427999999999997</v>
      </c>
      <c r="V82" s="6">
        <f t="shared" ref="V82" si="253">+SUM(I78:I82)+SUM(H83:H89)</f>
        <v>51.716999999999999</v>
      </c>
      <c r="W82" s="105">
        <f t="shared" ref="W82" si="254">+SUM(J78:J82)+SUM(I83:I89)</f>
        <v>46.359000000000009</v>
      </c>
      <c r="X82" s="90">
        <f t="shared" ref="X82" si="255">+SUM(K78:K82)+SUM(J83:J89)</f>
        <v>49.952999999999996</v>
      </c>
      <c r="Y82" s="117">
        <f t="shared" ref="Y82:Y84" si="256">+X82/W82-1</f>
        <v>7.7525399598783018E-2</v>
      </c>
      <c r="Z82" s="113">
        <f t="shared" ref="Z82:Z84" si="257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58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59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60">+SUM(I78:I83)+SUM(H84:H89)</f>
        <v>48.695</v>
      </c>
      <c r="W83" s="105">
        <f t="shared" ref="W83" si="261">+SUM(J78:J83)+SUM(I84:I89)</f>
        <v>46.096000000000004</v>
      </c>
      <c r="X83" s="105">
        <f t="shared" ref="X83" si="262">+SUM(K78:K83)+SUM(J84:J89)</f>
        <v>51.480000000000004</v>
      </c>
      <c r="Y83" s="117">
        <f t="shared" si="256"/>
        <v>0.11679972231863944</v>
      </c>
      <c r="Z83" s="113">
        <f t="shared" si="257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263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64">+SUM(C78:C84)+SUM(B85:B89)</f>
        <v>50.324610000000007</v>
      </c>
      <c r="Q84" s="6">
        <f t="shared" si="264"/>
        <v>49.039000000000001</v>
      </c>
      <c r="R84" s="6">
        <f t="shared" si="264"/>
        <v>73.459000000000003</v>
      </c>
      <c r="S84" s="6">
        <f t="shared" si="264"/>
        <v>82.415000000000006</v>
      </c>
      <c r="T84" s="6">
        <f t="shared" si="264"/>
        <v>82.75200000000001</v>
      </c>
      <c r="U84" s="6">
        <f t="shared" si="264"/>
        <v>62.551000000000002</v>
      </c>
      <c r="V84" s="6">
        <f t="shared" ref="V84" si="265">+SUM(I78:I84)+SUM(H85:H89)</f>
        <v>49.564999999999998</v>
      </c>
      <c r="W84" s="105">
        <f t="shared" ref="W84" si="266">+SUM(J78:J84)+SUM(I85:I89)</f>
        <v>48.569000000000003</v>
      </c>
      <c r="X84" s="90">
        <f t="shared" ref="X84" si="267">+SUM(K78:K84)+SUM(J85:J89)</f>
        <v>47.619</v>
      </c>
      <c r="Y84" s="117">
        <f t="shared" si="256"/>
        <v>-1.9559801519487774E-2</v>
      </c>
      <c r="Z84" s="113">
        <f t="shared" si="257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/>
      <c r="L85" s="91"/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68">+SUM(F78:F85)+SUM(E86:E89)</f>
        <v>83.611000000000004</v>
      </c>
      <c r="T85" s="6">
        <f t="shared" ref="T85" si="269">+SUM(G78:G85)+SUM(F86:F89)</f>
        <v>78.921999999999997</v>
      </c>
      <c r="U85" s="6">
        <f>+SUM(H78:H85)+SUM(G86:G89)</f>
        <v>62.572000000000003</v>
      </c>
      <c r="V85" s="6">
        <f t="shared" ref="V85" si="270">+SUM(I78:I85)+SUM(H86:H89)</f>
        <v>48.338999999999999</v>
      </c>
      <c r="W85" s="105">
        <f t="shared" ref="W85" si="271">+SUM(J78:J85)+SUM(I86:I89)</f>
        <v>50.626000000000005</v>
      </c>
      <c r="X85" s="90"/>
      <c r="Y85" s="117"/>
      <c r="Z85" s="113"/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/>
      <c r="L86" s="91"/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72">+SUM(C78:C86)+SUM(B87:B89)</f>
        <v>50.186000000000007</v>
      </c>
      <c r="Q86" s="6">
        <f t="shared" si="272"/>
        <v>56.774000000000001</v>
      </c>
      <c r="R86" s="6">
        <f t="shared" si="272"/>
        <v>68.522999999999996</v>
      </c>
      <c r="S86" s="6">
        <f t="shared" si="272"/>
        <v>85.174999999999997</v>
      </c>
      <c r="T86" s="6">
        <f t="shared" si="272"/>
        <v>77.83</v>
      </c>
      <c r="U86" s="6">
        <f t="shared" si="272"/>
        <v>63.664000000000001</v>
      </c>
      <c r="V86" s="6">
        <f t="shared" ref="V86" si="273">+SUM(I78:I86)+SUM(H87:H89)</f>
        <v>47.634</v>
      </c>
      <c r="W86" s="105">
        <f t="shared" ref="W86" si="274">+SUM(J78:J86)+SUM(I87:I89)</f>
        <v>49.378</v>
      </c>
      <c r="X86" s="90"/>
      <c r="Y86" s="117"/>
      <c r="Z86" s="113"/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75">+SUM(C78:C87)+SUM(B88:B89)</f>
        <v>48.314000000000007</v>
      </c>
      <c r="Q87" s="6">
        <f t="shared" si="275"/>
        <v>61.71</v>
      </c>
      <c r="R87" s="6">
        <f t="shared" si="275"/>
        <v>64.951999999999998</v>
      </c>
      <c r="S87" s="6">
        <f t="shared" si="275"/>
        <v>86.085999999999984</v>
      </c>
      <c r="T87" s="6">
        <f t="shared" si="275"/>
        <v>75.586000000000013</v>
      </c>
      <c r="U87" s="6">
        <f t="shared" si="275"/>
        <v>61.962000000000003</v>
      </c>
      <c r="V87" s="6">
        <f t="shared" ref="V87" si="276">+SUM(I78:I87)+SUM(H88:H89)</f>
        <v>48.534999999999997</v>
      </c>
      <c r="W87" s="105">
        <f t="shared" ref="W87" si="277">+SUM(J78:J87)+SUM(I88:I89)</f>
        <v>50.995000000000005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278">+SUM(C78:C88)+SUM(B89)</f>
        <v>48.896999999999998</v>
      </c>
      <c r="Q88" s="6">
        <f t="shared" si="278"/>
        <v>64.774000000000001</v>
      </c>
      <c r="R88" s="6">
        <f t="shared" si="278"/>
        <v>64.7</v>
      </c>
      <c r="S88" s="6">
        <f t="shared" si="278"/>
        <v>87.171999999999997</v>
      </c>
      <c r="T88" s="6">
        <f t="shared" si="278"/>
        <v>74.811000000000007</v>
      </c>
      <c r="U88" s="6">
        <f t="shared" si="278"/>
        <v>61.039000000000001</v>
      </c>
      <c r="V88" s="6">
        <f t="shared" ref="V88" si="279">+SUM(I78:I88)+SUM(H89)</f>
        <v>46.742000000000004</v>
      </c>
      <c r="W88" s="105">
        <f t="shared" ref="W88" si="280">+SUM(J78:J88)+SUM(I89)</f>
        <v>52.099000000000004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281">+SUM(C78:C89)</f>
        <v>45.655000000000001</v>
      </c>
      <c r="Q89" s="6">
        <f t="shared" si="281"/>
        <v>67.075999999999993</v>
      </c>
      <c r="R89" s="6">
        <f t="shared" si="281"/>
        <v>67.055000000000007</v>
      </c>
      <c r="S89" s="6">
        <f t="shared" si="281"/>
        <v>85.994</v>
      </c>
      <c r="T89" s="6">
        <f t="shared" si="281"/>
        <v>74.798000000000002</v>
      </c>
      <c r="U89" s="6">
        <f t="shared" si="281"/>
        <v>57.429000000000002</v>
      </c>
      <c r="V89" s="6">
        <f t="shared" ref="V89" si="282">+SUM(I78:I89)</f>
        <v>48.047000000000004</v>
      </c>
      <c r="W89" s="105">
        <f t="shared" ref="W89" si="283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84">SUM(G78:G89)</f>
        <v>74.798000000000002</v>
      </c>
      <c r="H90" s="83">
        <f t="shared" si="284"/>
        <v>57.429000000000002</v>
      </c>
      <c r="I90" s="83">
        <f t="shared" ref="I90:J90" si="285">SUM(I78:I89)</f>
        <v>48.047000000000004</v>
      </c>
      <c r="J90" s="83">
        <f t="shared" si="285"/>
        <v>52.267000000000003</v>
      </c>
      <c r="K90" s="106"/>
      <c r="L90" s="94"/>
      <c r="M90" s="3"/>
      <c r="N90" s="92" t="s">
        <v>14</v>
      </c>
      <c r="O90" s="106">
        <f t="shared" ref="O90:X90" si="286">+AVERAGE(O78:O89)</f>
        <v>54.559153333333335</v>
      </c>
      <c r="P90" s="83">
        <f t="shared" si="286"/>
        <v>50.748168333333332</v>
      </c>
      <c r="Q90" s="83">
        <f t="shared" si="286"/>
        <v>51.803166666666662</v>
      </c>
      <c r="R90" s="83">
        <f t="shared" si="286"/>
        <v>70.407750000000007</v>
      </c>
      <c r="S90" s="83">
        <f t="shared" si="286"/>
        <v>80.130833333333342</v>
      </c>
      <c r="T90" s="83">
        <f t="shared" si="286"/>
        <v>79.908083333333352</v>
      </c>
      <c r="U90" s="83">
        <f t="shared" si="286"/>
        <v>65.731499999999997</v>
      </c>
      <c r="V90" s="83">
        <f t="shared" si="286"/>
        <v>50.823083333333329</v>
      </c>
      <c r="W90" s="107">
        <f t="shared" si="286"/>
        <v>48.588583333333339</v>
      </c>
      <c r="X90" s="107">
        <f t="shared" si="286"/>
        <v>50.439142857142869</v>
      </c>
      <c r="Y90" s="119">
        <f>+X90/W90-1</f>
        <v>3.8086303342373506E-2</v>
      </c>
      <c r="Z90" s="173">
        <f>+POWER(X90/S90,0.2)-1</f>
        <v>-8.8422477921673459E-2</v>
      </c>
    </row>
    <row r="91" spans="1:27" ht="25.5" x14ac:dyDescent="0.25">
      <c r="A91" s="95" t="s">
        <v>15</v>
      </c>
      <c r="B91" s="108">
        <f t="shared" ref="B91:G91" si="287">+B90/B$108</f>
        <v>6.6939684564817081E-2</v>
      </c>
      <c r="C91" s="84">
        <f t="shared" si="287"/>
        <v>5.6391279268685826E-2</v>
      </c>
      <c r="D91" s="84">
        <f t="shared" si="287"/>
        <v>8.1687530217541951E-2</v>
      </c>
      <c r="E91" s="84">
        <f t="shared" si="287"/>
        <v>8.3937416522608846E-2</v>
      </c>
      <c r="F91" s="84">
        <f t="shared" si="287"/>
        <v>0.108679689761027</v>
      </c>
      <c r="G91" s="84">
        <f t="shared" si="287"/>
        <v>8.3350048362150042E-2</v>
      </c>
      <c r="H91" s="84">
        <f t="shared" ref="H91:I91" si="288">+H90/H$108</f>
        <v>6.9625931413080627E-2</v>
      </c>
      <c r="I91" s="84">
        <f t="shared" si="288"/>
        <v>6.9585934218720571E-2</v>
      </c>
      <c r="J91" s="84">
        <f t="shared" ref="J91" si="289">+J90/J$108</f>
        <v>7.2885610296886102E-2</v>
      </c>
      <c r="K91" s="108"/>
      <c r="L91" s="97"/>
      <c r="M91" s="3"/>
      <c r="N91" s="95" t="s">
        <v>15</v>
      </c>
      <c r="O91" s="108">
        <f t="shared" ref="O91:W91" si="290">+O90/O$108</f>
        <v>6.756011385001072E-2</v>
      </c>
      <c r="P91" s="84">
        <f t="shared" si="290"/>
        <v>6.2064367197316575E-2</v>
      </c>
      <c r="Q91" s="84">
        <f t="shared" si="290"/>
        <v>6.3600197746055118E-2</v>
      </c>
      <c r="R91" s="84">
        <f t="shared" si="290"/>
        <v>8.5913487888731488E-2</v>
      </c>
      <c r="S91" s="84">
        <f t="shared" si="290"/>
        <v>0.10155540074867761</v>
      </c>
      <c r="T91" s="84">
        <f t="shared" si="290"/>
        <v>9.4303820934490953E-2</v>
      </c>
      <c r="U91" s="84">
        <f t="shared" si="290"/>
        <v>7.5472315536660145E-2</v>
      </c>
      <c r="V91" s="84">
        <f t="shared" si="290"/>
        <v>6.7923270427783497E-2</v>
      </c>
      <c r="W91" s="109">
        <f t="shared" si="290"/>
        <v>7.0183900469519278E-2</v>
      </c>
      <c r="X91" s="109">
        <f t="shared" ref="X91" si="291">+X90/X$108</f>
        <v>7.1069631427207861E-2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92">+D90/C90-1</f>
        <v>0.46919285948965039</v>
      </c>
      <c r="E92" s="85">
        <f t="shared" ref="E92" si="293">+E90/D90-1</f>
        <v>-3.1307770290400772E-4</v>
      </c>
      <c r="F92" s="85">
        <f t="shared" ref="F92:J92" si="294">+F90/E90-1</f>
        <v>0.28243978823353943</v>
      </c>
      <c r="G92" s="85">
        <f t="shared" si="294"/>
        <v>-0.13019512989278315</v>
      </c>
      <c r="H92" s="85">
        <f t="shared" si="294"/>
        <v>-0.23221209123238584</v>
      </c>
      <c r="I92" s="85">
        <f t="shared" si="294"/>
        <v>-0.16336694004771102</v>
      </c>
      <c r="J92" s="85">
        <f t="shared" si="294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295">+Q90/P90-1</f>
        <v>2.0788894811014647E-2</v>
      </c>
      <c r="R92" s="85">
        <f t="shared" ref="R92" si="296">+R90/Q90-1</f>
        <v>0.35913988527084917</v>
      </c>
      <c r="S92" s="85">
        <f t="shared" ref="S92" si="297">+S90/R90-1</f>
        <v>0.13809677675161236</v>
      </c>
      <c r="T92" s="85">
        <f t="shared" ref="T92" si="298">+T90/S90-1</f>
        <v>-2.7798288216145384E-3</v>
      </c>
      <c r="U92" s="85">
        <f t="shared" ref="U92" si="299">+U90/T90-1</f>
        <v>-0.17741112966251871</v>
      </c>
      <c r="V92" s="85">
        <f t="shared" ref="V92" si="300">+V90/U90-1</f>
        <v>-0.22680779636348891</v>
      </c>
      <c r="W92" s="111">
        <f t="shared" ref="W92:X92" si="301">+W90/V90-1</f>
        <v>-4.3966242373462028E-2</v>
      </c>
      <c r="X92" s="111">
        <f t="shared" si="301"/>
        <v>3.8086303342373506E-2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9" t="s">
        <v>43</v>
      </c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1"/>
      <c r="M94" s="2"/>
      <c r="N94" s="379" t="s">
        <v>44</v>
      </c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1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02">+C95+1</f>
        <v>2018</v>
      </c>
      <c r="E95" s="82">
        <f t="shared" ref="E95" si="303">+D95+1</f>
        <v>2019</v>
      </c>
      <c r="F95" s="82">
        <f t="shared" ref="F95" si="304">+E95+1</f>
        <v>2020</v>
      </c>
      <c r="G95" s="82">
        <f t="shared" ref="G95" si="305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06">+P95+1</f>
        <v>2018</v>
      </c>
      <c r="R95" s="82">
        <f t="shared" ref="R95" si="307">+Q95+1</f>
        <v>2019</v>
      </c>
      <c r="S95" s="82">
        <f t="shared" ref="S95" si="308">+R95+1</f>
        <v>2020</v>
      </c>
      <c r="T95" s="82">
        <f t="shared" ref="T95" si="309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10">+SUM(D96)+SUM(C97:C107)</f>
        <v>804.50100000000009</v>
      </c>
      <c r="R96" s="6">
        <f t="shared" ref="R96" si="311">+SUM(E96)+SUM(D97:D107)</f>
        <v>826.70799999999986</v>
      </c>
      <c r="S96" s="6">
        <f t="shared" ref="S96" si="312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13">+SUM(D96:D97)+SUM(C98:C107)</f>
        <v>812.54399999999998</v>
      </c>
      <c r="R97" s="6">
        <f t="shared" ref="R97" si="314">+SUM(E96:E97)+SUM(D98:D107)</f>
        <v>829.87899999999991</v>
      </c>
      <c r="S97" s="6">
        <f t="shared" ref="S97" si="315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16">+SUM(I96:I97)+SUM(H98:H107)</f>
        <v>816.59899999999993</v>
      </c>
      <c r="W97" s="105">
        <f t="shared" ref="W97" si="317">+SUM(J96:J97)+SUM(I98:I107)</f>
        <v>675.98200000000008</v>
      </c>
      <c r="X97" s="90">
        <f t="shared" ref="X97" si="318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19">+SUM(D96:D98)+SUM(C99:C107)</f>
        <v>812.06399999999996</v>
      </c>
      <c r="R98" s="6">
        <f t="shared" ref="R98" si="320">+SUM(E96:E98)+SUM(D99:D107)</f>
        <v>825.577</v>
      </c>
      <c r="S98" s="6">
        <f t="shared" ref="S98" si="321">+SUM(F96:F98)+SUM(E99:E107)</f>
        <v>794.38100000000009</v>
      </c>
      <c r="T98" s="6">
        <f t="shared" ref="T98" si="322">+SUM(G96:G98)+SUM(F99:F107)</f>
        <v>810.49600000000009</v>
      </c>
      <c r="U98" s="6">
        <f>+SUM(H96:H98)+SUM(G99:G107)</f>
        <v>885.94999999999993</v>
      </c>
      <c r="V98" s="6">
        <f t="shared" ref="V98" si="323">+SUM(I96:I98)+SUM(H99:H107)</f>
        <v>807.495</v>
      </c>
      <c r="W98" s="67">
        <f t="shared" ref="W98" si="324">+SUM(J96:J98)+SUM(I99:I107)</f>
        <v>664.85</v>
      </c>
      <c r="X98" s="37">
        <f t="shared" ref="X98" si="325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26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27">+SUM(D96:D99)+SUM(C100:C107)</f>
        <v>811.40599999999995</v>
      </c>
      <c r="R99" s="6">
        <f t="shared" ref="R99" si="328">+SUM(E96:E99)+SUM(D100:D107)</f>
        <v>831.28700000000003</v>
      </c>
      <c r="S99" s="6">
        <f t="shared" ref="S99" si="329">+SUM(F96:F99)+SUM(E100:E107)</f>
        <v>792.64600000000019</v>
      </c>
      <c r="T99" s="6">
        <f t="shared" ref="T99" si="330">+SUM(G96:G99)+SUM(F100:F107)</f>
        <v>817.17599999999993</v>
      </c>
      <c r="U99" s="6">
        <f>+SUM(H96:H99)+SUM(G100:G107)</f>
        <v>885.66499999999996</v>
      </c>
      <c r="V99" s="6">
        <f t="shared" ref="V99" si="331">+SUM(I96:I99)+SUM(H100:H107)</f>
        <v>785.80599999999993</v>
      </c>
      <c r="W99" s="105">
        <f t="shared" ref="W99" si="332">+SUM(J96:J99)+SUM(I100:I107)</f>
        <v>678.45099999999991</v>
      </c>
      <c r="X99" s="90">
        <f t="shared" ref="X99" si="333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26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34">+SUM(D96:D100)+SUM(C101:C107)</f>
        <v>813.50699999999995</v>
      </c>
      <c r="R100" s="6">
        <f t="shared" ref="R100" si="335">+SUM(E96:E100)+SUM(D101:D107)</f>
        <v>833.89599999999996</v>
      </c>
      <c r="S100" s="6">
        <f t="shared" ref="S100" si="336">+SUM(F96:F100)+SUM(E101:E107)</f>
        <v>780.74</v>
      </c>
      <c r="T100" s="6">
        <f t="shared" ref="T100" si="337">+SUM(G96:G100)+SUM(F101:F107)</f>
        <v>831.59300000000007</v>
      </c>
      <c r="U100" s="6">
        <f>+SUM(H96:H100)+SUM(G101:G107)</f>
        <v>888.01199999999994</v>
      </c>
      <c r="V100" s="6">
        <f t="shared" ref="V100" si="338">+SUM(I96:I100)+SUM(H101:H107)</f>
        <v>767.74900000000002</v>
      </c>
      <c r="W100" s="105">
        <f t="shared" ref="W100" si="339">+SUM(J96:J100)+SUM(I101:I107)</f>
        <v>681.49799999999993</v>
      </c>
      <c r="X100" s="90">
        <f t="shared" ref="X100" si="340">+SUM(K96:K100)+SUM(J101:J107)</f>
        <v>704.82999999999993</v>
      </c>
      <c r="Y100" s="117">
        <f t="shared" ref="Y100:Y102" si="341">+X100/W100-1</f>
        <v>3.4236344053834245E-2</v>
      </c>
      <c r="Z100" s="113">
        <f t="shared" ref="Z100:Z102" si="342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43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44">+SUM(D96:D101)+SUM(C102:C107)</f>
        <v>805.25900000000001</v>
      </c>
      <c r="R101" s="6">
        <f t="shared" ref="R101" si="345">+SUM(E96:E101)+SUM(D102:D107)</f>
        <v>830.47900000000004</v>
      </c>
      <c r="S101" s="6">
        <f t="shared" ref="S101" si="346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47">+SUM(I96:I101)+SUM(H102:H107)</f>
        <v>740.37400000000002</v>
      </c>
      <c r="W101" s="105">
        <f t="shared" ref="W101" si="348">+SUM(J96:J101)+SUM(I102:I107)</f>
        <v>672.81299999999999</v>
      </c>
      <c r="X101" s="105">
        <f t="shared" ref="X101" si="349">+SUM(K96:K101)+SUM(J102:J107)</f>
        <v>713.26</v>
      </c>
      <c r="Y101" s="117">
        <f t="shared" si="341"/>
        <v>6.0116258157913105E-2</v>
      </c>
      <c r="Z101" s="113">
        <f t="shared" si="342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350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51">+SUM(C96:C102)+SUM(B103:B107)</f>
        <v>825.38261</v>
      </c>
      <c r="Q102" s="6">
        <f t="shared" si="351"/>
        <v>814.88699999999994</v>
      </c>
      <c r="R102" s="6">
        <f t="shared" si="351"/>
        <v>823.44999999999993</v>
      </c>
      <c r="S102" s="6">
        <f t="shared" si="351"/>
        <v>786.56400000000008</v>
      </c>
      <c r="T102" s="6">
        <f t="shared" si="351"/>
        <v>861.23700000000008</v>
      </c>
      <c r="U102" s="6">
        <f t="shared" si="351"/>
        <v>865.54600000000005</v>
      </c>
      <c r="V102" s="6">
        <f t="shared" si="351"/>
        <v>738.03600000000006</v>
      </c>
      <c r="W102" s="105">
        <f t="shared" ref="W102" si="352">+SUM(J96:J102)+SUM(I103:I107)</f>
        <v>695.38699999999994</v>
      </c>
      <c r="X102" s="90">
        <f t="shared" ref="X102" si="353">+SUM(K96:K102)+SUM(J103:J107)</f>
        <v>696.154</v>
      </c>
      <c r="Y102" s="117">
        <f t="shared" si="341"/>
        <v>1.1029829433106819E-3</v>
      </c>
      <c r="Z102" s="113">
        <f t="shared" si="342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/>
      <c r="L103" s="91"/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54">+SUM(F96:F103)+SUM(E104:E107)</f>
        <v>773.8610000000001</v>
      </c>
      <c r="T103" s="6">
        <f t="shared" ref="T103" si="355">+SUM(G96:G103)+SUM(F104:F107)</f>
        <v>866.93200000000013</v>
      </c>
      <c r="U103" s="6">
        <f>+SUM(H96:H103)+SUM(G104:G107)</f>
        <v>876.11300000000006</v>
      </c>
      <c r="V103" s="6">
        <f t="shared" ref="V103" si="356">+SUM(I96:I103)+SUM(H104:H107)</f>
        <v>712.44499999999994</v>
      </c>
      <c r="W103" s="105">
        <f t="shared" ref="W103" si="357">+SUM(J96:J103)+SUM(I104:I107)</f>
        <v>706.9430000000001</v>
      </c>
      <c r="X103" s="90"/>
      <c r="Y103" s="117"/>
      <c r="Z103" s="113"/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/>
      <c r="L104" s="91"/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358">+SUM(C96:C104)+SUM(B105:B107)</f>
        <v>811.87</v>
      </c>
      <c r="Q104" s="6">
        <f t="shared" si="358"/>
        <v>817.29899999999998</v>
      </c>
      <c r="R104" s="6">
        <f t="shared" si="358"/>
        <v>813.01900000000001</v>
      </c>
      <c r="S104" s="6">
        <f t="shared" si="358"/>
        <v>786.66200000000003</v>
      </c>
      <c r="T104" s="6">
        <f t="shared" si="358"/>
        <v>877.82500000000005</v>
      </c>
      <c r="U104" s="6">
        <f t="shared" si="358"/>
        <v>866.63000000000011</v>
      </c>
      <c r="V104" s="6">
        <f t="shared" si="358"/>
        <v>701.00200000000007</v>
      </c>
      <c r="W104" s="105">
        <f t="shared" ref="W104" si="359">+SUM(J96:J104)+SUM(I105:I107)</f>
        <v>707.29700000000003</v>
      </c>
      <c r="X104" s="90"/>
      <c r="Y104" s="117"/>
      <c r="Z104" s="113"/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60">+SUM(C96:C105)+SUM(B106:B107)</f>
        <v>813.99099999999999</v>
      </c>
      <c r="Q105" s="6">
        <f t="shared" si="360"/>
        <v>819.16200000000003</v>
      </c>
      <c r="R105" s="6">
        <f t="shared" si="360"/>
        <v>804.86500000000001</v>
      </c>
      <c r="S105" s="6">
        <f t="shared" si="360"/>
        <v>789.54900000000009</v>
      </c>
      <c r="T105" s="6">
        <f t="shared" si="360"/>
        <v>877.60300000000007</v>
      </c>
      <c r="U105" s="6">
        <f t="shared" si="360"/>
        <v>859.39300000000014</v>
      </c>
      <c r="V105" s="6">
        <f t="shared" ref="V105" si="361">+SUM(I96:I105)+SUM(H106:H107)</f>
        <v>695.55500000000006</v>
      </c>
      <c r="W105" s="105">
        <f t="shared" ref="W105" si="362">+SUM(J96:J105)+SUM(I106:I107)</f>
        <v>712.97400000000005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63">+SUM(C96:C106)+SUM(B107)</f>
        <v>814.553</v>
      </c>
      <c r="Q106" s="6">
        <f t="shared" si="363"/>
        <v>822.95099999999991</v>
      </c>
      <c r="R106" s="6">
        <f t="shared" si="363"/>
        <v>798.995</v>
      </c>
      <c r="S106" s="6">
        <f t="shared" si="363"/>
        <v>794.12300000000005</v>
      </c>
      <c r="T106" s="6">
        <f t="shared" si="363"/>
        <v>888.92700000000002</v>
      </c>
      <c r="U106" s="6">
        <f t="shared" si="363"/>
        <v>837.43300000000011</v>
      </c>
      <c r="V106" s="6">
        <f t="shared" ref="V106" si="364">+SUM(I96:I106)+SUM(H107)</f>
        <v>691.91500000000008</v>
      </c>
      <c r="W106" s="105">
        <f t="shared" ref="W106" si="365">+SUM(J96:J106)+SUM(I107)</f>
        <v>716.92200000000014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66">+SUM(C96:C107)</f>
        <v>809.61099999999999</v>
      </c>
      <c r="Q107" s="6">
        <f t="shared" si="366"/>
        <v>821.12899999999991</v>
      </c>
      <c r="R107" s="6">
        <f t="shared" si="366"/>
        <v>798.86900000000003</v>
      </c>
      <c r="S107" s="6">
        <f t="shared" si="366"/>
        <v>791.26100000000008</v>
      </c>
      <c r="T107" s="6">
        <f t="shared" si="366"/>
        <v>897.39599999999996</v>
      </c>
      <c r="U107" s="6">
        <f t="shared" si="366"/>
        <v>824.82200000000012</v>
      </c>
      <c r="V107" s="6">
        <f t="shared" ref="V107" si="367">+SUM(I96:I107)</f>
        <v>690.47000000000014</v>
      </c>
      <c r="W107" s="105">
        <f t="shared" ref="W107" si="368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69">SUM(C96:C107)</f>
        <v>809.61099999999999</v>
      </c>
      <c r="D108" s="83">
        <f t="shared" si="369"/>
        <v>821.12899999999991</v>
      </c>
      <c r="E108" s="83">
        <f t="shared" si="369"/>
        <v>798.86900000000003</v>
      </c>
      <c r="F108" s="83">
        <f t="shared" si="369"/>
        <v>791.26100000000008</v>
      </c>
      <c r="G108" s="83">
        <f t="shared" si="369"/>
        <v>897.39599999999996</v>
      </c>
      <c r="H108" s="83">
        <f t="shared" ref="H108:I108" si="370">SUM(H96:H107)</f>
        <v>824.82200000000012</v>
      </c>
      <c r="I108" s="83">
        <f t="shared" si="370"/>
        <v>690.47000000000014</v>
      </c>
      <c r="J108" s="83">
        <f t="shared" ref="J108" si="371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72">+AVERAGE(Q96:Q107)</f>
        <v>814.51266666666652</v>
      </c>
      <c r="R108" s="83">
        <f t="shared" si="372"/>
        <v>819.51916666666682</v>
      </c>
      <c r="S108" s="83">
        <f t="shared" si="372"/>
        <v>789.03566666666677</v>
      </c>
      <c r="T108" s="83">
        <f t="shared" si="372"/>
        <v>847.34725000000014</v>
      </c>
      <c r="U108" s="83">
        <f t="shared" si="372"/>
        <v>870.93525000000011</v>
      </c>
      <c r="V108" s="83">
        <f t="shared" si="372"/>
        <v>748.2425833333333</v>
      </c>
      <c r="W108" s="107">
        <f t="shared" si="372"/>
        <v>692.3038333333335</v>
      </c>
      <c r="X108" s="107">
        <f t="shared" si="372"/>
        <v>709.71442857142858</v>
      </c>
      <c r="Y108" s="119">
        <f>+X108/W108-1</f>
        <v>2.514877774728741E-2</v>
      </c>
      <c r="Z108" s="173">
        <f>+POWER(X108/S108,0.2)-1</f>
        <v>-2.0966843962859083E-2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73">+D108/C108-1</f>
        <v>1.4226585360129551E-2</v>
      </c>
      <c r="E109" s="85">
        <f t="shared" ref="E109" si="374">+E108/D108-1</f>
        <v>-2.7109016975408129E-2</v>
      </c>
      <c r="F109" s="85">
        <f t="shared" ref="F109:J109" si="375">+F108/E108-1</f>
        <v>-9.5234637969429103E-3</v>
      </c>
      <c r="G109" s="85">
        <f t="shared" si="375"/>
        <v>0.13413399624144229</v>
      </c>
      <c r="H109" s="85">
        <f t="shared" si="375"/>
        <v>-8.0871766756259067E-2</v>
      </c>
      <c r="I109" s="85">
        <f t="shared" si="375"/>
        <v>-0.16288605299082703</v>
      </c>
      <c r="J109" s="85">
        <f t="shared" si="375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376">+Q108/P108-1</f>
        <v>-3.8613236477959001E-3</v>
      </c>
      <c r="R109" s="85">
        <f t="shared" ref="R109" si="377">+R108/Q108-1</f>
        <v>6.1466201876134718E-3</v>
      </c>
      <c r="S109" s="85">
        <f t="shared" ref="S109" si="378">+S108/R108-1</f>
        <v>-3.7196811544981223E-2</v>
      </c>
      <c r="T109" s="85">
        <f t="shared" ref="T109:X109" si="379">+T108/S108-1</f>
        <v>7.3902341550255324E-2</v>
      </c>
      <c r="U109" s="85">
        <f t="shared" si="379"/>
        <v>2.7837465690718766E-2</v>
      </c>
      <c r="V109" s="85">
        <f t="shared" si="379"/>
        <v>-0.14087461343040919</v>
      </c>
      <c r="W109" s="111">
        <f t="shared" si="379"/>
        <v>-7.4760179714443931E-2</v>
      </c>
      <c r="X109" s="100">
        <f t="shared" si="379"/>
        <v>2.514877774728741E-2</v>
      </c>
      <c r="Y109" s="100"/>
      <c r="Z109" s="224"/>
    </row>
    <row r="110" spans="1:26" ht="15.75" thickBot="1" x14ac:dyDescent="0.3"/>
    <row r="111" spans="1:26" ht="15.75" thickBot="1" x14ac:dyDescent="0.3">
      <c r="A111" s="373" t="s">
        <v>45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5"/>
      <c r="M111" s="2"/>
      <c r="N111" s="373" t="s">
        <v>46</v>
      </c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5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380">+C112+1</f>
        <v>2018</v>
      </c>
      <c r="E112" s="129">
        <f t="shared" ref="E112" si="381">+D112+1</f>
        <v>2019</v>
      </c>
      <c r="F112" s="129">
        <f t="shared" ref="F112" si="382">+E112+1</f>
        <v>2020</v>
      </c>
      <c r="G112" s="129">
        <f t="shared" ref="G112:K112" si="383">+F112+1</f>
        <v>2021</v>
      </c>
      <c r="H112" s="129">
        <f t="shared" si="383"/>
        <v>2022</v>
      </c>
      <c r="I112" s="129">
        <f t="shared" si="383"/>
        <v>2023</v>
      </c>
      <c r="J112" s="130">
        <f t="shared" si="383"/>
        <v>2024</v>
      </c>
      <c r="K112" s="130">
        <f t="shared" si="383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384">+P112+1</f>
        <v>2018</v>
      </c>
      <c r="R112" s="129">
        <f t="shared" ref="R112" si="385">+Q112+1</f>
        <v>2019</v>
      </c>
      <c r="S112" s="129">
        <f t="shared" ref="S112" si="386">+R112+1</f>
        <v>2020</v>
      </c>
      <c r="T112" s="129">
        <f t="shared" ref="T112" si="387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388">+C60/C7</f>
        <v>3.718357346146234</v>
      </c>
      <c r="D113" s="158">
        <f t="shared" si="388"/>
        <v>3.9478346529048953</v>
      </c>
      <c r="E113" s="158">
        <f t="shared" si="388"/>
        <v>3.9160428488544867</v>
      </c>
      <c r="F113" s="158">
        <f t="shared" si="388"/>
        <v>3.7372375128860522</v>
      </c>
      <c r="G113" s="158">
        <f t="shared" si="388"/>
        <v>3.6436984971671289</v>
      </c>
      <c r="H113" s="158">
        <f t="shared" ref="H113:I124" si="389">+H60/H7</f>
        <v>3.6556312625250502</v>
      </c>
      <c r="I113" s="158">
        <f t="shared" si="389"/>
        <v>3.8771539323460829</v>
      </c>
      <c r="J113" s="180">
        <f t="shared" ref="J113:K124" si="390">+J60/J7</f>
        <v>4.2508500839323373</v>
      </c>
      <c r="K113" s="180">
        <f t="shared" si="390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391">+P60/P7</f>
        <v>3.7223228546626719</v>
      </c>
      <c r="Q113" s="158">
        <f t="shared" si="391"/>
        <v>3.9972669853612439</v>
      </c>
      <c r="R113" s="158">
        <f t="shared" si="391"/>
        <v>4.0401049777839075</v>
      </c>
      <c r="S113" s="158">
        <f t="shared" si="391"/>
        <v>3.8107309182898312</v>
      </c>
      <c r="T113" s="158">
        <f t="shared" si="391"/>
        <v>3.492512006243544</v>
      </c>
      <c r="U113" s="158">
        <f t="shared" si="391"/>
        <v>3.7350088648014705</v>
      </c>
      <c r="V113" s="158">
        <f t="shared" ref="V113:W123" si="392">+V60/V7</f>
        <v>3.9040936416809724</v>
      </c>
      <c r="W113" s="180">
        <f t="shared" si="392"/>
        <v>4.253487103298375</v>
      </c>
      <c r="X113" s="181">
        <f t="shared" ref="X113:X119" si="393">+X60/X7</f>
        <v>4.2389908027751764</v>
      </c>
      <c r="Y113" s="147">
        <f t="shared" ref="Y113:Y118" si="394">+X113/W113-1</f>
        <v>-3.4080979138170209E-3</v>
      </c>
      <c r="Z113" s="127">
        <f t="shared" ref="Z113:Z118" si="395">+POWER(X113/S113,0.2)-1</f>
        <v>2.1529324317369314E-2</v>
      </c>
    </row>
    <row r="114" spans="1:26" x14ac:dyDescent="0.25">
      <c r="A114" s="133" t="s">
        <v>11</v>
      </c>
      <c r="B114" s="158">
        <f t="shared" ref="B114:G114" si="396">+B61/B8</f>
        <v>3.7221066632706488</v>
      </c>
      <c r="C114" s="158">
        <f t="shared" si="396"/>
        <v>3.9660241751061744</v>
      </c>
      <c r="D114" s="158">
        <f t="shared" si="396"/>
        <v>4.0949099400689128</v>
      </c>
      <c r="E114" s="158">
        <f t="shared" si="396"/>
        <v>4.0386253041362536</v>
      </c>
      <c r="F114" s="158">
        <f t="shared" si="396"/>
        <v>3.7810899500107342</v>
      </c>
      <c r="G114" s="158">
        <f t="shared" si="396"/>
        <v>3.6736988546490581</v>
      </c>
      <c r="H114" s="158">
        <f t="shared" si="389"/>
        <v>3.8515889382402708</v>
      </c>
      <c r="I114" s="158">
        <f t="shared" si="389"/>
        <v>4.075703288516797</v>
      </c>
      <c r="J114" s="180">
        <f t="shared" si="390"/>
        <v>4.1248731059018562</v>
      </c>
      <c r="K114" s="180">
        <f t="shared" si="390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397">+O61/O8</f>
        <v>3.8230652946104944</v>
      </c>
      <c r="P114" s="158">
        <f t="shared" si="397"/>
        <v>3.7353889633187571</v>
      </c>
      <c r="Q114" s="158">
        <f t="shared" si="397"/>
        <v>4.0052822627860687</v>
      </c>
      <c r="R114" s="158">
        <f t="shared" si="397"/>
        <v>4.0364302485133301</v>
      </c>
      <c r="S114" s="158">
        <f t="shared" si="397"/>
        <v>3.7930418000110815</v>
      </c>
      <c r="T114" s="158">
        <f t="shared" si="397"/>
        <v>3.48805706922106</v>
      </c>
      <c r="U114" s="158">
        <f t="shared" si="397"/>
        <v>3.7475461336070248</v>
      </c>
      <c r="V114" s="158">
        <f t="shared" si="392"/>
        <v>3.9181522102488215</v>
      </c>
      <c r="W114" s="180">
        <f t="shared" si="392"/>
        <v>4.2577082760833287</v>
      </c>
      <c r="X114" s="181">
        <f t="shared" si="393"/>
        <v>4.2533071116749346</v>
      </c>
      <c r="Y114" s="147">
        <f t="shared" si="394"/>
        <v>-1.0336932741767946E-3</v>
      </c>
      <c r="Z114" s="127">
        <f t="shared" si="395"/>
        <v>2.3170058516196912E-2</v>
      </c>
    </row>
    <row r="115" spans="1:26" x14ac:dyDescent="0.25">
      <c r="A115" s="133" t="s">
        <v>0</v>
      </c>
      <c r="B115" s="158">
        <f t="shared" ref="B115:G115" si="398">+B62/B9</f>
        <v>3.5626695545637523</v>
      </c>
      <c r="C115" s="158">
        <f t="shared" si="398"/>
        <v>4.0012602779953017</v>
      </c>
      <c r="D115" s="158">
        <f t="shared" si="398"/>
        <v>4.1454446057024592</v>
      </c>
      <c r="E115" s="158">
        <f t="shared" si="398"/>
        <v>3.7511183724277428</v>
      </c>
      <c r="F115" s="158">
        <f t="shared" si="398"/>
        <v>3.6767908067937571</v>
      </c>
      <c r="G115" s="158">
        <f t="shared" si="398"/>
        <v>3.5714508304854107</v>
      </c>
      <c r="H115" s="158">
        <f t="shared" si="389"/>
        <v>3.7686506307329779</v>
      </c>
      <c r="I115" s="158">
        <f t="shared" si="389"/>
        <v>4.12891804644382</v>
      </c>
      <c r="J115" s="180">
        <f t="shared" si="390"/>
        <v>4.2076965158819712</v>
      </c>
      <c r="K115" s="180">
        <f t="shared" si="390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399">+O62/O9</f>
        <v>3.7965118648922256</v>
      </c>
      <c r="P115" s="158">
        <f t="shared" si="399"/>
        <v>3.772202918218269</v>
      </c>
      <c r="Q115" s="158">
        <f t="shared" si="399"/>
        <v>4.0168915773318501</v>
      </c>
      <c r="R115" s="158">
        <f t="shared" si="399"/>
        <v>4.0041146178500808</v>
      </c>
      <c r="S115" s="158">
        <f t="shared" si="399"/>
        <v>3.7877375610833792</v>
      </c>
      <c r="T115" s="158">
        <f t="shared" si="399"/>
        <v>3.4828995926123603</v>
      </c>
      <c r="U115" s="158">
        <f t="shared" si="397"/>
        <v>3.7649645827031124</v>
      </c>
      <c r="V115" s="158">
        <f t="shared" si="392"/>
        <v>3.9480014614694685</v>
      </c>
      <c r="W115" s="180">
        <f t="shared" si="392"/>
        <v>4.2664651563968361</v>
      </c>
      <c r="X115" s="181">
        <f t="shared" si="393"/>
        <v>4.2686475261003336</v>
      </c>
      <c r="Y115" s="147">
        <f t="shared" si="394"/>
        <v>5.1151705768082145E-4</v>
      </c>
      <c r="Z115" s="127">
        <f t="shared" si="395"/>
        <v>2.4193659597219419E-2</v>
      </c>
    </row>
    <row r="116" spans="1:26" x14ac:dyDescent="0.25">
      <c r="A116" s="133" t="s">
        <v>1</v>
      </c>
      <c r="B116" s="158">
        <f t="shared" ref="B116:G116" si="400">+B63/B10</f>
        <v>3.7899403435698136</v>
      </c>
      <c r="C116" s="158">
        <f t="shared" si="400"/>
        <v>3.8450675684233193</v>
      </c>
      <c r="D116" s="158">
        <f t="shared" si="400"/>
        <v>4.0358155582561563</v>
      </c>
      <c r="E116" s="158">
        <f t="shared" si="400"/>
        <v>3.8240884638374175</v>
      </c>
      <c r="F116" s="158">
        <f t="shared" si="400"/>
        <v>3.4400997163048568</v>
      </c>
      <c r="G116" s="158">
        <f t="shared" si="400"/>
        <v>3.6934676213350253</v>
      </c>
      <c r="H116" s="158">
        <f t="shared" si="389"/>
        <v>3.974388032638259</v>
      </c>
      <c r="I116" s="158">
        <f t="shared" si="389"/>
        <v>4.2915067699659692</v>
      </c>
      <c r="J116" s="180">
        <f t="shared" si="390"/>
        <v>4.0303493801320238</v>
      </c>
      <c r="K116" s="180">
        <f t="shared" ref="K116" si="401">+K63/K10</f>
        <v>4.1836965708765996</v>
      </c>
      <c r="L116" s="127">
        <f t="shared" ref="L116:L117" si="402">+K116/J116-1</f>
        <v>3.8048113521005122E-2</v>
      </c>
      <c r="M116" s="2"/>
      <c r="N116" s="133" t="s">
        <v>1</v>
      </c>
      <c r="O116" s="158">
        <f t="shared" ref="O116:T116" si="403">+O63/O10</f>
        <v>3.7942516883860318</v>
      </c>
      <c r="P116" s="158">
        <f t="shared" si="403"/>
        <v>3.7762973309335366</v>
      </c>
      <c r="Q116" s="158">
        <f t="shared" si="403"/>
        <v>4.0326233298506153</v>
      </c>
      <c r="R116" s="158">
        <f t="shared" si="403"/>
        <v>3.9859146497725089</v>
      </c>
      <c r="S116" s="158">
        <f t="shared" si="403"/>
        <v>3.7523030014761187</v>
      </c>
      <c r="T116" s="158">
        <f t="shared" si="403"/>
        <v>3.5042576399419394</v>
      </c>
      <c r="U116" s="158">
        <f t="shared" si="397"/>
        <v>3.7871343921064833</v>
      </c>
      <c r="V116" s="158">
        <f t="shared" si="392"/>
        <v>3.9661205262790999</v>
      </c>
      <c r="W116" s="180">
        <f t="shared" si="392"/>
        <v>4.2409686780746521</v>
      </c>
      <c r="X116" s="181">
        <f t="shared" si="393"/>
        <v>4.28441125701712</v>
      </c>
      <c r="Y116" s="147">
        <f t="shared" si="394"/>
        <v>1.0243550999813111E-2</v>
      </c>
      <c r="Z116" s="127">
        <f t="shared" si="395"/>
        <v>2.6877528599551059E-2</v>
      </c>
    </row>
    <row r="117" spans="1:26" x14ac:dyDescent="0.25">
      <c r="A117" s="133" t="s">
        <v>2</v>
      </c>
      <c r="B117" s="158">
        <f t="shared" ref="B117:G117" si="404">+B64/B11</f>
        <v>3.6354316834855034</v>
      </c>
      <c r="C117" s="158">
        <f t="shared" si="404"/>
        <v>4.0481946739236081</v>
      </c>
      <c r="D117" s="158">
        <f t="shared" si="404"/>
        <v>4.2074676739793695</v>
      </c>
      <c r="E117" s="158">
        <f t="shared" si="404"/>
        <v>3.8332715328547953</v>
      </c>
      <c r="F117" s="158">
        <f t="shared" si="404"/>
        <v>3.0865357722212901</v>
      </c>
      <c r="G117" s="158">
        <f t="shared" si="404"/>
        <v>3.5890342850493493</v>
      </c>
      <c r="H117" s="158">
        <f t="shared" si="389"/>
        <v>4.0835943704226594</v>
      </c>
      <c r="I117" s="158">
        <f t="shared" si="389"/>
        <v>4.2178485576923084</v>
      </c>
      <c r="J117" s="180">
        <f t="shared" si="390"/>
        <v>4.0847330329100098</v>
      </c>
      <c r="K117" s="180">
        <f t="shared" ref="K117:K119" si="405">+K64/K11</f>
        <v>4.1729647208198557</v>
      </c>
      <c r="L117" s="127">
        <f t="shared" si="402"/>
        <v>2.1600356057293935E-2</v>
      </c>
      <c r="M117" s="2"/>
      <c r="N117" s="133" t="s">
        <v>2</v>
      </c>
      <c r="O117" s="158">
        <f t="shared" ref="O117:T117" si="406">+O64/O11</f>
        <v>3.7832243361976867</v>
      </c>
      <c r="P117" s="158">
        <f t="shared" si="406"/>
        <v>3.8120616535048994</v>
      </c>
      <c r="Q117" s="158">
        <f t="shared" si="406"/>
        <v>4.0459075111428691</v>
      </c>
      <c r="R117" s="158">
        <f t="shared" si="406"/>
        <v>3.9533942203684367</v>
      </c>
      <c r="S117" s="158">
        <f t="shared" si="406"/>
        <v>3.6822992561180916</v>
      </c>
      <c r="T117" s="158">
        <f t="shared" si="406"/>
        <v>3.5473259470080061</v>
      </c>
      <c r="U117" s="158">
        <f t="shared" si="397"/>
        <v>3.8296499736170393</v>
      </c>
      <c r="V117" s="158">
        <f t="shared" si="392"/>
        <v>3.9728945293578795</v>
      </c>
      <c r="W117" s="180">
        <f t="shared" si="392"/>
        <v>4.227785850600779</v>
      </c>
      <c r="X117" s="181">
        <f t="shared" si="393"/>
        <v>4.2939178179915505</v>
      </c>
      <c r="Y117" s="147">
        <f t="shared" si="394"/>
        <v>1.5642222602493927E-2</v>
      </c>
      <c r="Z117" s="127">
        <f t="shared" si="395"/>
        <v>3.1209557685369038E-2</v>
      </c>
    </row>
    <row r="118" spans="1:26" x14ac:dyDescent="0.25">
      <c r="A118" s="133" t="s">
        <v>3</v>
      </c>
      <c r="B118" s="158">
        <f t="shared" ref="B118:G118" si="407">+B65/B12</f>
        <v>3.6446129303939072</v>
      </c>
      <c r="C118" s="158">
        <f t="shared" si="407"/>
        <v>3.760832083747522</v>
      </c>
      <c r="D118" s="158">
        <f t="shared" si="407"/>
        <v>3.9364315994312786</v>
      </c>
      <c r="E118" s="158">
        <f t="shared" si="407"/>
        <v>3.7501942423198273</v>
      </c>
      <c r="F118" s="158">
        <f t="shared" si="407"/>
        <v>3.03154145003055</v>
      </c>
      <c r="G118" s="158">
        <f t="shared" si="407"/>
        <v>3.7407210525316574</v>
      </c>
      <c r="H118" s="158">
        <f t="shared" si="389"/>
        <v>3.7869901031961808</v>
      </c>
      <c r="I118" s="158">
        <f t="shared" si="389"/>
        <v>4.553265793022371</v>
      </c>
      <c r="J118" s="180">
        <f t="shared" si="390"/>
        <v>4.548790641735966</v>
      </c>
      <c r="K118" s="180">
        <f t="shared" si="405"/>
        <v>4.1798423009355723</v>
      </c>
      <c r="L118" s="127">
        <f t="shared" ref="L118" si="408">+K118/J118-1</f>
        <v>-8.1109105663212278E-2</v>
      </c>
      <c r="M118" s="2"/>
      <c r="N118" s="133" t="s">
        <v>3</v>
      </c>
      <c r="O118" s="158">
        <f t="shared" ref="O118:T118" si="409">+O65/O12</f>
        <v>3.768271090426845</v>
      </c>
      <c r="P118" s="158">
        <f t="shared" si="409"/>
        <v>3.8206496157218197</v>
      </c>
      <c r="Q118" s="158">
        <f t="shared" si="409"/>
        <v>4.0641634968247962</v>
      </c>
      <c r="R118" s="158">
        <f t="shared" si="409"/>
        <v>3.9390931188918308</v>
      </c>
      <c r="S118" s="158">
        <f t="shared" si="409"/>
        <v>3.6187494475742112</v>
      </c>
      <c r="T118" s="158">
        <f t="shared" si="409"/>
        <v>3.6080876795162506</v>
      </c>
      <c r="U118" s="158">
        <f t="shared" si="397"/>
        <v>3.834355067817071</v>
      </c>
      <c r="V118" s="158">
        <f t="shared" si="392"/>
        <v>4.0341063515337305</v>
      </c>
      <c r="W118" s="180">
        <f t="shared" si="392"/>
        <v>4.223456360823131</v>
      </c>
      <c r="X118" s="181">
        <f t="shared" si="393"/>
        <v>4.26891768893499</v>
      </c>
      <c r="Y118" s="147">
        <f t="shared" si="394"/>
        <v>1.0764010381061118E-2</v>
      </c>
      <c r="Z118" s="127">
        <f t="shared" si="395"/>
        <v>3.3598459227024202E-2</v>
      </c>
    </row>
    <row r="119" spans="1:26" x14ac:dyDescent="0.25">
      <c r="A119" s="133" t="s">
        <v>4</v>
      </c>
      <c r="B119" s="158">
        <f t="shared" ref="B119:G119" si="410">+B66/B13</f>
        <v>3.6979506922993979</v>
      </c>
      <c r="C119" s="158">
        <f t="shared" si="410"/>
        <v>3.930720813157405</v>
      </c>
      <c r="D119" s="158">
        <f t="shared" si="410"/>
        <v>3.9144111426801396</v>
      </c>
      <c r="E119" s="158">
        <f t="shared" si="410"/>
        <v>4.048420048199846</v>
      </c>
      <c r="F119" s="158">
        <f t="shared" si="410"/>
        <v>3.6137151795177864</v>
      </c>
      <c r="G119" s="158">
        <f t="shared" si="410"/>
        <v>3.9784753363228704</v>
      </c>
      <c r="H119" s="158">
        <f t="shared" si="389"/>
        <v>3.7624296269667536</v>
      </c>
      <c r="I119" s="158">
        <f t="shared" si="389"/>
        <v>4.1190465569285211</v>
      </c>
      <c r="J119" s="180">
        <f t="shared" si="390"/>
        <v>4.2765546499311808</v>
      </c>
      <c r="K119" s="180">
        <f t="shared" si="405"/>
        <v>4.0274543290379343</v>
      </c>
      <c r="L119" s="127">
        <f t="shared" ref="L119" si="411">+K119/J119-1</f>
        <v>-5.8247898433206102E-2</v>
      </c>
      <c r="M119" s="2"/>
      <c r="N119" s="133" t="s">
        <v>4</v>
      </c>
      <c r="O119" s="158">
        <f t="shared" ref="O119:T119" si="412">+O66/O13</f>
        <v>3.7529840621665733</v>
      </c>
      <c r="P119" s="158">
        <f t="shared" si="412"/>
        <v>3.839319416387863</v>
      </c>
      <c r="Q119" s="158">
        <f t="shared" si="412"/>
        <v>4.061087484489506</v>
      </c>
      <c r="R119" s="158">
        <f t="shared" si="412"/>
        <v>3.950943443936493</v>
      </c>
      <c r="S119" s="158">
        <f t="shared" si="412"/>
        <v>3.5825128960980752</v>
      </c>
      <c r="T119" s="158">
        <f t="shared" si="412"/>
        <v>3.6404069104063868</v>
      </c>
      <c r="U119" s="158">
        <f t="shared" si="397"/>
        <v>3.8160482222237007</v>
      </c>
      <c r="V119" s="158">
        <f t="shared" si="392"/>
        <v>4.0658464551235074</v>
      </c>
      <c r="W119" s="180">
        <f t="shared" ref="W119" si="413">+W66/W13</f>
        <v>4.2388028402072155</v>
      </c>
      <c r="X119" s="181">
        <f t="shared" si="393"/>
        <v>4.2436113703016893</v>
      </c>
      <c r="Y119" s="147">
        <f t="shared" ref="Y119" si="414">+X119/W119-1</f>
        <v>1.1344075852885993E-3</v>
      </c>
      <c r="Z119" s="127">
        <f t="shared" ref="Z119" si="415">+POWER(X119/S119,0.2)-1</f>
        <v>3.4450153512251891E-2</v>
      </c>
    </row>
    <row r="120" spans="1:26" x14ac:dyDescent="0.25">
      <c r="A120" s="133" t="s">
        <v>5</v>
      </c>
      <c r="B120" s="158">
        <f t="shared" ref="B120:G122" si="416">+B67/B14</f>
        <v>3.6143732981406922</v>
      </c>
      <c r="C120" s="158">
        <f t="shared" si="416"/>
        <v>3.8901655288149812</v>
      </c>
      <c r="D120" s="158">
        <f t="shared" si="416"/>
        <v>4.1571444930718409</v>
      </c>
      <c r="E120" s="158">
        <f t="shared" si="416"/>
        <v>4.0406261589006176</v>
      </c>
      <c r="F120" s="158">
        <f t="shared" si="416"/>
        <v>3.4266028790807677</v>
      </c>
      <c r="G120" s="158">
        <f t="shared" si="416"/>
        <v>3.677622860367737</v>
      </c>
      <c r="H120" s="158">
        <f t="shared" si="389"/>
        <v>3.977060638378914</v>
      </c>
      <c r="I120" s="158">
        <f t="shared" si="389"/>
        <v>4.3286388411310677</v>
      </c>
      <c r="J120" s="180">
        <f t="shared" si="390"/>
        <v>4.277100553752625</v>
      </c>
      <c r="K120" s="180"/>
      <c r="L120" s="127"/>
      <c r="M120" s="2"/>
      <c r="N120" s="133" t="s">
        <v>5</v>
      </c>
      <c r="O120" s="158">
        <f t="shared" ref="O120:T120" si="417">+O67/O14</f>
        <v>3.7437580139987467</v>
      </c>
      <c r="P120" s="158">
        <f t="shared" si="417"/>
        <v>3.8717606329868697</v>
      </c>
      <c r="Q120" s="158">
        <f t="shared" si="417"/>
        <v>4.0904676024220601</v>
      </c>
      <c r="R120" s="158">
        <f t="shared" si="417"/>
        <v>3.9381077727141811</v>
      </c>
      <c r="S120" s="158">
        <f t="shared" si="417"/>
        <v>3.5230101946549262</v>
      </c>
      <c r="T120" s="158">
        <f t="shared" si="417"/>
        <v>3.6622415143269436</v>
      </c>
      <c r="U120" s="158">
        <f t="shared" si="397"/>
        <v>3.8450151784190911</v>
      </c>
      <c r="V120" s="158">
        <f t="shared" si="392"/>
        <v>4.0995310983755111</v>
      </c>
      <c r="W120" s="180">
        <f t="shared" ref="W120:W124" si="418">+W67/W14</f>
        <v>4.2348469255085011</v>
      </c>
      <c r="X120" s="181"/>
      <c r="Y120" s="147"/>
      <c r="Z120" s="127"/>
    </row>
    <row r="121" spans="1:26" x14ac:dyDescent="0.25">
      <c r="A121" s="133" t="s">
        <v>6</v>
      </c>
      <c r="B121" s="158">
        <f t="shared" ref="B121:F121" si="419">+B68/B15</f>
        <v>3.8646592020871835</v>
      </c>
      <c r="C121" s="158">
        <f t="shared" si="419"/>
        <v>4.0694352461464538</v>
      </c>
      <c r="D121" s="158">
        <f t="shared" si="419"/>
        <v>4.1065781970867246</v>
      </c>
      <c r="E121" s="158">
        <f t="shared" si="419"/>
        <v>3.751847665420398</v>
      </c>
      <c r="F121" s="158">
        <f t="shared" si="419"/>
        <v>3.4009495908677643</v>
      </c>
      <c r="G121" s="158">
        <f t="shared" si="416"/>
        <v>4.0120893295227491</v>
      </c>
      <c r="H121" s="158">
        <f t="shared" si="389"/>
        <v>3.9123976255385511</v>
      </c>
      <c r="I121" s="158">
        <f t="shared" si="389"/>
        <v>4.5037308507582052</v>
      </c>
      <c r="J121" s="180">
        <f t="shared" si="390"/>
        <v>4.5528567063855787</v>
      </c>
      <c r="K121" s="180"/>
      <c r="L121" s="127"/>
      <c r="M121" s="2"/>
      <c r="N121" s="133" t="s">
        <v>6</v>
      </c>
      <c r="O121" s="158">
        <f t="shared" ref="O121:T121" si="420">+O68/O15</f>
        <v>3.7329938251044839</v>
      </c>
      <c r="P121" s="158">
        <f t="shared" si="420"/>
        <v>3.887967821630562</v>
      </c>
      <c r="Q121" s="158">
        <f t="shared" si="420"/>
        <v>4.093382018129776</v>
      </c>
      <c r="R121" s="158">
        <f t="shared" si="420"/>
        <v>3.9115239526306387</v>
      </c>
      <c r="S121" s="158">
        <f t="shared" si="420"/>
        <v>3.4939326970920876</v>
      </c>
      <c r="T121" s="158">
        <f t="shared" si="420"/>
        <v>3.7184337859005407</v>
      </c>
      <c r="U121" s="158">
        <f t="shared" si="397"/>
        <v>3.8348948177058335</v>
      </c>
      <c r="V121" s="158">
        <f t="shared" si="392"/>
        <v>4.1535265383549351</v>
      </c>
      <c r="W121" s="180">
        <f t="shared" si="418"/>
        <v>4.2393600226814367</v>
      </c>
      <c r="X121" s="181"/>
      <c r="Y121" s="147"/>
      <c r="Z121" s="127"/>
    </row>
    <row r="122" spans="1:26" x14ac:dyDescent="0.25">
      <c r="A122" s="133" t="s">
        <v>7</v>
      </c>
      <c r="B122" s="158">
        <f t="shared" ref="B122:F122" si="421">+B69/B16</f>
        <v>3.6881882261225467</v>
      </c>
      <c r="C122" s="158">
        <f t="shared" si="421"/>
        <v>4.2171894369985736</v>
      </c>
      <c r="D122" s="158">
        <f t="shared" si="421"/>
        <v>4.0344982733333721</v>
      </c>
      <c r="E122" s="158">
        <f t="shared" si="421"/>
        <v>3.4704545943967093</v>
      </c>
      <c r="F122" s="158">
        <f t="shared" si="421"/>
        <v>3.5953007132266199</v>
      </c>
      <c r="G122" s="158">
        <f t="shared" si="416"/>
        <v>3.7291985554060605</v>
      </c>
      <c r="H122" s="158">
        <f t="shared" si="389"/>
        <v>3.9943125194396312</v>
      </c>
      <c r="I122" s="158">
        <f t="shared" si="389"/>
        <v>4.1993616863356342</v>
      </c>
      <c r="J122" s="180">
        <f t="shared" si="390"/>
        <v>4.3075939475740572</v>
      </c>
      <c r="K122" s="180"/>
      <c r="L122" s="127"/>
      <c r="M122" s="2"/>
      <c r="N122" s="133" t="s">
        <v>7</v>
      </c>
      <c r="O122" s="158">
        <f t="shared" ref="O122:V124" si="422">+O69/O16</f>
        <v>3.7076393642807592</v>
      </c>
      <c r="P122" s="158">
        <f t="shared" si="422"/>
        <v>3.9358777574332597</v>
      </c>
      <c r="Q122" s="158">
        <f t="shared" si="422"/>
        <v>4.0765635217282492</v>
      </c>
      <c r="R122" s="158">
        <f t="shared" si="422"/>
        <v>3.8578345930991893</v>
      </c>
      <c r="S122" s="158">
        <f t="shared" si="422"/>
        <v>3.5054403209129075</v>
      </c>
      <c r="T122" s="158">
        <f t="shared" si="422"/>
        <v>3.7299351646833787</v>
      </c>
      <c r="U122" s="158">
        <f t="shared" si="422"/>
        <v>3.8564241495425819</v>
      </c>
      <c r="V122" s="158">
        <f t="shared" si="392"/>
        <v>4.1736897954181131</v>
      </c>
      <c r="W122" s="180">
        <f t="shared" si="418"/>
        <v>4.2489842551525374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423">+B70/B17</f>
        <v>3.9214999458664241</v>
      </c>
      <c r="C123" s="158">
        <f t="shared" si="423"/>
        <v>4.0603438040079682</v>
      </c>
      <c r="D123" s="158">
        <f t="shared" si="423"/>
        <v>3.910769230769231</v>
      </c>
      <c r="E123" s="158">
        <f t="shared" si="423"/>
        <v>3.6540867523958158</v>
      </c>
      <c r="F123" s="158">
        <f t="shared" si="423"/>
        <v>3.6320763261978803</v>
      </c>
      <c r="G123" s="158">
        <f t="shared" si="423"/>
        <v>3.8213717120748107</v>
      </c>
      <c r="H123" s="158">
        <f t="shared" si="389"/>
        <v>3.8771539323460829</v>
      </c>
      <c r="I123" s="158">
        <f t="shared" si="389"/>
        <v>4.1484095970418924</v>
      </c>
      <c r="J123" s="180">
        <f t="shared" si="390"/>
        <v>4.1826965445965758</v>
      </c>
      <c r="K123" s="180"/>
      <c r="L123" s="127"/>
      <c r="M123" s="2"/>
      <c r="N123" s="133" t="s">
        <v>8</v>
      </c>
      <c r="O123" s="158">
        <f t="shared" ref="O123:S123" si="424">+O70/O17</f>
        <v>3.7200348670232675</v>
      </c>
      <c r="P123" s="158">
        <f t="shared" si="424"/>
        <v>3.9467678922780256</v>
      </c>
      <c r="Q123" s="158">
        <f t="shared" si="424"/>
        <v>4.0637299225981218</v>
      </c>
      <c r="R123" s="158">
        <f t="shared" si="424"/>
        <v>3.836921120244376</v>
      </c>
      <c r="S123" s="158">
        <f t="shared" si="424"/>
        <v>3.5044103111160463</v>
      </c>
      <c r="T123" s="158">
        <f t="shared" ref="T123" si="425">+T70/T17</f>
        <v>3.7453437151368076</v>
      </c>
      <c r="U123" s="158">
        <f t="shared" si="422"/>
        <v>3.8610815488208798</v>
      </c>
      <c r="V123" s="158">
        <f t="shared" si="392"/>
        <v>4.1972135372957418</v>
      </c>
      <c r="W123" s="180">
        <f t="shared" si="418"/>
        <v>4.251346404961267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426">+B71/B18</f>
        <v>3.8691214174801689</v>
      </c>
      <c r="C124" s="158">
        <f t="shared" si="426"/>
        <v>4.2887195581564272</v>
      </c>
      <c r="D124" s="158">
        <f t="shared" si="426"/>
        <v>4.0207561054448666</v>
      </c>
      <c r="E124" s="158">
        <f t="shared" si="426"/>
        <v>3.8499944982394365</v>
      </c>
      <c r="F124" s="158">
        <f t="shared" si="426"/>
        <v>3.7753349603331872</v>
      </c>
      <c r="G124" s="158">
        <f t="shared" si="426"/>
        <v>3.6195494877397709</v>
      </c>
      <c r="H124" s="158">
        <f t="shared" si="389"/>
        <v>3.975795839309213</v>
      </c>
      <c r="I124" s="158">
        <f t="shared" si="389"/>
        <v>4.2491235958798601</v>
      </c>
      <c r="J124" s="180">
        <f t="shared" si="390"/>
        <v>4.2637122167561747</v>
      </c>
      <c r="K124" s="180"/>
      <c r="L124" s="127"/>
      <c r="M124" s="2"/>
      <c r="N124" s="133" t="s">
        <v>9</v>
      </c>
      <c r="O124" s="158">
        <f t="shared" ref="O124:S124" si="427">+O71/O18</f>
        <v>3.724342670779182</v>
      </c>
      <c r="P124" s="158">
        <f t="shared" si="427"/>
        <v>3.9794826062111639</v>
      </c>
      <c r="Q124" s="158">
        <f t="shared" si="427"/>
        <v>4.0427764308760619</v>
      </c>
      <c r="R124" s="158">
        <f t="shared" si="427"/>
        <v>3.8239471283323025</v>
      </c>
      <c r="S124" s="158">
        <f t="shared" si="427"/>
        <v>3.4988115985599286</v>
      </c>
      <c r="T124" s="158">
        <f t="shared" ref="T124" si="428">+T71/T18</f>
        <v>3.733483290284251</v>
      </c>
      <c r="U124" s="158">
        <f t="shared" si="422"/>
        <v>3.8901846713970478</v>
      </c>
      <c r="V124" s="158">
        <f t="shared" si="422"/>
        <v>4.2209881515637928</v>
      </c>
      <c r="W124" s="180">
        <f t="shared" si="418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26"/>
        <v>3.7243426707791829</v>
      </c>
      <c r="C125" s="182">
        <f t="shared" si="426"/>
        <v>3.9794826062111639</v>
      </c>
      <c r="D125" s="182">
        <f t="shared" si="426"/>
        <v>4.0427764308760619</v>
      </c>
      <c r="E125" s="182">
        <f t="shared" si="426"/>
        <v>3.8239471283323025</v>
      </c>
      <c r="F125" s="182">
        <f t="shared" si="426"/>
        <v>3.4988115985599286</v>
      </c>
      <c r="G125" s="182">
        <f t="shared" ref="G125:H125" si="429">+G72/G19</f>
        <v>3.733483290284251</v>
      </c>
      <c r="H125" s="182">
        <f t="shared" si="429"/>
        <v>3.8901846713970478</v>
      </c>
      <c r="I125" s="182">
        <f t="shared" ref="I125:J125" si="430">+I72/I19</f>
        <v>4.2209881515637928</v>
      </c>
      <c r="J125" s="183">
        <f t="shared" si="430"/>
        <v>4.2524641333478304</v>
      </c>
      <c r="K125" s="183"/>
      <c r="L125" s="137"/>
      <c r="M125" s="3"/>
      <c r="N125" s="134" t="s">
        <v>14</v>
      </c>
      <c r="O125" s="182">
        <f t="shared" ref="O125" si="431">+AVERAGE(O113:O124)</f>
        <v>3.764374531322209</v>
      </c>
      <c r="P125" s="182">
        <f>+AVERAGE(P113:P124)</f>
        <v>3.8416749552739748</v>
      </c>
      <c r="Q125" s="182">
        <f t="shared" ref="Q125:U125" si="432">+AVERAGE(Q113:Q124)</f>
        <v>4.0491785119617676</v>
      </c>
      <c r="R125" s="182">
        <f t="shared" si="432"/>
        <v>3.9398608203447729</v>
      </c>
      <c r="S125" s="182">
        <f t="shared" si="432"/>
        <v>3.6294150002488905</v>
      </c>
      <c r="T125" s="182">
        <f t="shared" si="432"/>
        <v>3.6127486929401216</v>
      </c>
      <c r="U125" s="182">
        <f t="shared" si="432"/>
        <v>3.8168589668967776</v>
      </c>
      <c r="V125" s="182">
        <f t="shared" ref="V125" si="433">+AVERAGE(V113:V124)</f>
        <v>4.0545136913917981</v>
      </c>
      <c r="W125" s="183">
        <f t="shared" ref="W125:X125" si="434">+AVERAGE(W113:W124)</f>
        <v>4.2446396672613238</v>
      </c>
      <c r="X125" s="184">
        <f t="shared" si="434"/>
        <v>4.2645433678279705</v>
      </c>
      <c r="Y125" s="149">
        <f>+X125/W125-1</f>
        <v>4.689137860196535E-3</v>
      </c>
      <c r="Z125" s="156">
        <f>+POWER(X125/S125,0.2)-1</f>
        <v>3.2778482691175892E-2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35">+C125/C$161</f>
        <v>1.0973996742628946</v>
      </c>
      <c r="D126" s="138">
        <f t="shared" si="435"/>
        <v>1.3557041615990533</v>
      </c>
      <c r="E126" s="138">
        <f t="shared" si="435"/>
        <v>1.4951490675953263</v>
      </c>
      <c r="F126" s="138">
        <f t="shared" si="435"/>
        <v>1.7459426319508629</v>
      </c>
      <c r="G126" s="138">
        <f t="shared" ref="G126:H126" si="436">+G125/G$161</f>
        <v>1.3991085056590906</v>
      </c>
      <c r="H126" s="138">
        <f t="shared" si="436"/>
        <v>1.2493182557319722</v>
      </c>
      <c r="I126" s="138">
        <f t="shared" ref="I126:J126" si="437">+I125/I$161</f>
        <v>1.2234764655893042</v>
      </c>
      <c r="J126" s="139">
        <f t="shared" si="437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438">+P125/P$161</f>
        <v>1.1260100193888452</v>
      </c>
      <c r="Q126" s="138">
        <f t="shared" ref="Q126" si="439">+Q125/Q$161</f>
        <v>1.1716190474692556</v>
      </c>
      <c r="R126" s="138">
        <f t="shared" ref="R126" si="440">+R125/R$161</f>
        <v>1.4402937082227394</v>
      </c>
      <c r="S126" s="138">
        <f t="shared" ref="S126:T126" si="441">+S125/S$161</f>
        <v>1.7350606912880495</v>
      </c>
      <c r="T126" s="222">
        <f t="shared" si="441"/>
        <v>1.5027337615989156</v>
      </c>
      <c r="U126" s="138">
        <f t="shared" ref="U126" si="442">+U125/U$161</f>
        <v>1.3114190410137434</v>
      </c>
      <c r="V126" s="138">
        <f t="shared" ref="V126" si="443">+V125/V$161</f>
        <v>1.226225390314196</v>
      </c>
      <c r="W126" s="139">
        <f t="shared" ref="W126:X126" si="444">+W125/W$161</f>
        <v>1.2254357512970484</v>
      </c>
      <c r="X126" s="223">
        <f t="shared" si="444"/>
        <v>1.2354948871047235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45">+D125/C125-1</f>
        <v>1.5905038651534475E-2</v>
      </c>
      <c r="E127" s="142">
        <f t="shared" ref="E127" si="446">+E125/D125-1</f>
        <v>-5.4128469947654079E-2</v>
      </c>
      <c r="F127" s="142">
        <f t="shared" ref="F127:J127" si="447">+F125/E125-1</f>
        <v>-8.5026157229891375E-2</v>
      </c>
      <c r="G127" s="142">
        <f t="shared" si="447"/>
        <v>6.707182856627969E-2</v>
      </c>
      <c r="H127" s="142">
        <f t="shared" si="447"/>
        <v>4.1971898339704827E-2</v>
      </c>
      <c r="I127" s="142">
        <f t="shared" si="447"/>
        <v>8.503541813811788E-2</v>
      </c>
      <c r="J127" s="143">
        <f t="shared" si="447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448">+Q125/P125-1</f>
        <v>5.401382446553038E-2</v>
      </c>
      <c r="R127" s="142">
        <f t="shared" ref="R127" si="449">+R125/Q125-1</f>
        <v>-2.699749870104684E-2</v>
      </c>
      <c r="S127" s="142">
        <f t="shared" ref="S127" si="450">+S125/R125-1</f>
        <v>-7.8796138810993788E-2</v>
      </c>
      <c r="T127" s="142">
        <f t="shared" ref="T127:X127" si="451">+T125/S125-1</f>
        <v>-4.5920092653020106E-3</v>
      </c>
      <c r="U127" s="142">
        <f t="shared" si="451"/>
        <v>5.6497224497103815E-2</v>
      </c>
      <c r="V127" s="142">
        <f t="shared" si="451"/>
        <v>6.2264476250281975E-2</v>
      </c>
      <c r="W127" s="143">
        <f t="shared" si="451"/>
        <v>4.689242418226014E-2</v>
      </c>
      <c r="X127" s="155">
        <f t="shared" si="451"/>
        <v>4.689137860196535E-3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73" t="s">
        <v>176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5"/>
      <c r="M129" s="2"/>
      <c r="N129" s="373" t="s">
        <v>177</v>
      </c>
      <c r="O129" s="374"/>
      <c r="P129" s="374"/>
      <c r="Q129" s="374"/>
      <c r="R129" s="374"/>
      <c r="S129" s="374"/>
      <c r="T129" s="374"/>
      <c r="U129" s="374"/>
      <c r="V129" s="374"/>
      <c r="W129" s="374"/>
      <c r="X129" s="374"/>
      <c r="Y129" s="374"/>
      <c r="Z129" s="375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52">+F130+1</f>
        <v>2021</v>
      </c>
      <c r="H130" s="129">
        <f t="shared" ref="H130" si="453">+G130+1</f>
        <v>2022</v>
      </c>
      <c r="I130" s="129">
        <f t="shared" ref="I130:K130" si="454">+H130+1</f>
        <v>2023</v>
      </c>
      <c r="J130" s="130">
        <f t="shared" si="454"/>
        <v>2024</v>
      </c>
      <c r="K130" s="130">
        <f t="shared" si="454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455">+P130+1</f>
        <v>2018</v>
      </c>
      <c r="R130" s="129">
        <f t="shared" ref="R130" si="456">+Q130+1</f>
        <v>2019</v>
      </c>
      <c r="S130" s="129">
        <f t="shared" ref="S130" si="457">+R130+1</f>
        <v>2020</v>
      </c>
      <c r="T130" s="129">
        <f t="shared" ref="T130" si="458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459">+C78/C25</f>
        <v>1.436690457309014</v>
      </c>
      <c r="D131" s="158">
        <f t="shared" si="459"/>
        <v>1.5253606328524896</v>
      </c>
      <c r="E131" s="158">
        <f t="shared" si="459"/>
        <v>0.58134567174766438</v>
      </c>
      <c r="F131" s="158">
        <f t="shared" si="459"/>
        <v>0.3474280388817888</v>
      </c>
      <c r="G131" s="158">
        <f t="shared" si="459"/>
        <v>0.73182688799708129</v>
      </c>
      <c r="H131" s="158">
        <f t="shared" si="459"/>
        <v>0.79363652705374799</v>
      </c>
      <c r="I131" s="158">
        <f t="shared" si="459"/>
        <v>0.95402278733570178</v>
      </c>
      <c r="J131" s="180">
        <f t="shared" ref="J131:K142" si="460">+J78/J25</f>
        <v>0.94806094182825495</v>
      </c>
      <c r="K131" s="180">
        <f t="shared" si="460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461">+P78/P25</f>
        <v>1.0918478738780659</v>
      </c>
      <c r="Q131" s="158">
        <f t="shared" si="461"/>
        <v>1.4684623858427204</v>
      </c>
      <c r="R131" s="158">
        <f t="shared" si="461"/>
        <v>0.71658220260476269</v>
      </c>
      <c r="S131" s="158">
        <f t="shared" si="461"/>
        <v>0.50801257854330484</v>
      </c>
      <c r="T131" s="158">
        <f t="shared" si="461"/>
        <v>0.4759535645464259</v>
      </c>
      <c r="U131" s="158">
        <f t="shared" si="461"/>
        <v>0.64557954408394647</v>
      </c>
      <c r="V131" s="158">
        <f t="shared" si="461"/>
        <v>0.86262989614210484</v>
      </c>
      <c r="W131" s="180">
        <f t="shared" si="461"/>
        <v>1.0031251678032542</v>
      </c>
      <c r="X131" s="181">
        <f t="shared" si="461"/>
        <v>0.99639262744454682</v>
      </c>
      <c r="Y131" s="147">
        <f t="shared" ref="Y131:Y136" si="462">+X131/W131-1</f>
        <v>-6.7115655900160665E-3</v>
      </c>
      <c r="Z131" s="127">
        <f t="shared" ref="Z131:Z136" si="463">+POWER(X131/S131,0.2)-1</f>
        <v>0.14422440872896836</v>
      </c>
    </row>
    <row r="132" spans="1:26" x14ac:dyDescent="0.25">
      <c r="A132" s="133" t="s">
        <v>11</v>
      </c>
      <c r="B132" s="158">
        <f t="shared" ref="B132:H132" si="464">+B79/B26</f>
        <v>0.99788628397614831</v>
      </c>
      <c r="C132" s="158">
        <f t="shared" si="464"/>
        <v>1.3980992608236535</v>
      </c>
      <c r="D132" s="158">
        <f t="shared" si="464"/>
        <v>1.8678598629093681</v>
      </c>
      <c r="E132" s="158">
        <f t="shared" si="464"/>
        <v>0.71607670649539845</v>
      </c>
      <c r="F132" s="158">
        <f t="shared" si="464"/>
        <v>0.29349511714656945</v>
      </c>
      <c r="G132" s="158">
        <f t="shared" si="464"/>
        <v>0.58775560131291915</v>
      </c>
      <c r="H132" s="158">
        <f t="shared" si="464"/>
        <v>0.92185951437066405</v>
      </c>
      <c r="I132" s="158">
        <f t="shared" si="459"/>
        <v>0.92349430276722733</v>
      </c>
      <c r="J132" s="180">
        <f t="shared" si="460"/>
        <v>1.1364844996402541</v>
      </c>
      <c r="K132" s="180">
        <f t="shared" si="460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465">+O79/O26</f>
        <v>0.93493898756921445</v>
      </c>
      <c r="P132" s="158">
        <f t="shared" si="465"/>
        <v>1.1177168328756799</v>
      </c>
      <c r="Q132" s="158">
        <f t="shared" si="465"/>
        <v>1.5112590010387503</v>
      </c>
      <c r="R132" s="158">
        <f t="shared" si="465"/>
        <v>0.68736771088802717</v>
      </c>
      <c r="S132" s="158">
        <f t="shared" si="465"/>
        <v>0.46011844247703149</v>
      </c>
      <c r="T132" s="158">
        <f t="shared" si="465"/>
        <v>0.51698696496399921</v>
      </c>
      <c r="U132" s="158">
        <f t="shared" si="465"/>
        <v>0.66707188885334312</v>
      </c>
      <c r="V132" s="158">
        <f t="shared" si="461"/>
        <v>0.86019718877540818</v>
      </c>
      <c r="W132" s="180">
        <f t="shared" si="461"/>
        <v>1.0187504612726348</v>
      </c>
      <c r="X132" s="181">
        <f t="shared" si="461"/>
        <v>0.99069510742745392</v>
      </c>
      <c r="Y132" s="147">
        <f t="shared" si="462"/>
        <v>-2.7538985170258323E-2</v>
      </c>
      <c r="Z132" s="127">
        <f t="shared" si="463"/>
        <v>0.16577322242572845</v>
      </c>
    </row>
    <row r="133" spans="1:26" x14ac:dyDescent="0.25">
      <c r="A133" s="133" t="s">
        <v>0</v>
      </c>
      <c r="B133" s="158">
        <f t="shared" ref="B133:H133" si="466">+B80/B27</f>
        <v>1.1541382643198697</v>
      </c>
      <c r="C133" s="158">
        <f t="shared" si="466"/>
        <v>1.4008690928843022</v>
      </c>
      <c r="D133" s="158">
        <f t="shared" si="466"/>
        <v>1.4153960580141316</v>
      </c>
      <c r="E133" s="158">
        <f t="shared" si="466"/>
        <v>0.78407773260336699</v>
      </c>
      <c r="F133" s="158">
        <f t="shared" si="466"/>
        <v>0.41024913967546106</v>
      </c>
      <c r="G133" s="158">
        <f t="shared" si="466"/>
        <v>0.61068569590877086</v>
      </c>
      <c r="H133" s="158">
        <f t="shared" si="466"/>
        <v>0.80069544905570234</v>
      </c>
      <c r="I133" s="158">
        <f t="shared" si="459"/>
        <v>1.0829694323144106</v>
      </c>
      <c r="J133" s="180">
        <f t="shared" si="460"/>
        <v>1.0185106201484262</v>
      </c>
      <c r="K133" s="180">
        <f t="shared" si="460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467">+O80/O27</f>
        <v>0.97178444226339822</v>
      </c>
      <c r="P133" s="158">
        <f t="shared" si="467"/>
        <v>1.1258298552092727</v>
      </c>
      <c r="Q133" s="158">
        <f t="shared" si="467"/>
        <v>1.509393965296179</v>
      </c>
      <c r="R133" s="158">
        <f t="shared" si="467"/>
        <v>0.6753121623578423</v>
      </c>
      <c r="S133" s="158">
        <f t="shared" si="467"/>
        <v>0.44236954510326015</v>
      </c>
      <c r="T133" s="158">
        <f t="shared" si="467"/>
        <v>0.53521246927207478</v>
      </c>
      <c r="U133" s="158">
        <f t="shared" si="467"/>
        <v>0.68277396604150831</v>
      </c>
      <c r="V133" s="158">
        <f t="shared" si="461"/>
        <v>0.88238541345326438</v>
      </c>
      <c r="W133" s="180">
        <f t="shared" si="461"/>
        <v>1.01290937045648</v>
      </c>
      <c r="X133" s="181">
        <f t="shared" si="461"/>
        <v>0.99093820945802713</v>
      </c>
      <c r="Y133" s="147">
        <f t="shared" si="462"/>
        <v>-2.1691142010613729E-2</v>
      </c>
      <c r="Z133" s="127">
        <f t="shared" si="463"/>
        <v>0.17503897188117157</v>
      </c>
    </row>
    <row r="134" spans="1:26" x14ac:dyDescent="0.25">
      <c r="A134" s="133" t="s">
        <v>1</v>
      </c>
      <c r="B134" s="158">
        <f t="shared" ref="B134:H134" si="468">+B81/B28</f>
        <v>0.75326569238884256</v>
      </c>
      <c r="C134" s="158">
        <f t="shared" si="468"/>
        <v>1.3954577382346054</v>
      </c>
      <c r="D134" s="158">
        <f t="shared" si="468"/>
        <v>1.1688148854004714</v>
      </c>
      <c r="E134" s="158">
        <f t="shared" si="468"/>
        <v>0.71777075316107752</v>
      </c>
      <c r="F134" s="158">
        <f t="shared" si="468"/>
        <v>0.43402097314765192</v>
      </c>
      <c r="G134" s="158">
        <f t="shared" si="468"/>
        <v>0.57137689023949068</v>
      </c>
      <c r="H134" s="158">
        <f t="shared" si="468"/>
        <v>0.71534367044665592</v>
      </c>
      <c r="I134" s="158">
        <f t="shared" si="459"/>
        <v>0.95040475458551077</v>
      </c>
      <c r="J134" s="180">
        <f t="shared" si="460"/>
        <v>0.9765780905367083</v>
      </c>
      <c r="K134" s="180">
        <f t="shared" ref="K134" si="469">+K81/K28</f>
        <v>0.98519515477792741</v>
      </c>
      <c r="L134" s="127">
        <f t="shared" ref="L134:L135" si="470">+K134/J134-1</f>
        <v>8.8237329146749754E-3</v>
      </c>
      <c r="M134" s="2"/>
      <c r="N134" s="133" t="s">
        <v>1</v>
      </c>
      <c r="O134" s="158">
        <f t="shared" ref="O134:U134" si="471">+O81/O28</f>
        <v>0.94945658647296971</v>
      </c>
      <c r="P134" s="158">
        <f t="shared" si="471"/>
        <v>1.1716487383043552</v>
      </c>
      <c r="Q134" s="158">
        <f t="shared" si="471"/>
        <v>1.4724885732501454</v>
      </c>
      <c r="R134" s="158">
        <f t="shared" si="471"/>
        <v>0.65960604351373708</v>
      </c>
      <c r="S134" s="158">
        <f t="shared" si="471"/>
        <v>0.43259245686014586</v>
      </c>
      <c r="T134" s="158">
        <f t="shared" si="471"/>
        <v>0.54687381273468616</v>
      </c>
      <c r="U134" s="158">
        <f t="shared" si="471"/>
        <v>0.70093840144590425</v>
      </c>
      <c r="V134" s="158">
        <f t="shared" si="461"/>
        <v>0.91244727593812769</v>
      </c>
      <c r="W134" s="180">
        <f t="shared" si="461"/>
        <v>1.0144430051813473</v>
      </c>
      <c r="X134" s="181">
        <f t="shared" si="461"/>
        <v>0.99186313866100739</v>
      </c>
      <c r="Y134" s="147">
        <f t="shared" si="462"/>
        <v>-2.2258388499907356E-2</v>
      </c>
      <c r="Z134" s="127">
        <f t="shared" si="463"/>
        <v>0.18052329583376703</v>
      </c>
    </row>
    <row r="135" spans="1:26" x14ac:dyDescent="0.25">
      <c r="A135" s="133" t="s">
        <v>2</v>
      </c>
      <c r="B135" s="158">
        <f t="shared" ref="B135:H135" si="472">+B82/B29</f>
        <v>0.86020721133074673</v>
      </c>
      <c r="C135" s="158">
        <f t="shared" si="472"/>
        <v>1.4563971992361553</v>
      </c>
      <c r="D135" s="158">
        <f t="shared" si="472"/>
        <v>1.0849785407725323</v>
      </c>
      <c r="E135" s="158">
        <f t="shared" si="472"/>
        <v>0.79778413543014381</v>
      </c>
      <c r="F135" s="158">
        <f t="shared" si="472"/>
        <v>0.45532508836376012</v>
      </c>
      <c r="G135" s="158">
        <f t="shared" si="472"/>
        <v>0.68314492025721885</v>
      </c>
      <c r="H135" s="158">
        <f t="shared" si="472"/>
        <v>0.80235010002342888</v>
      </c>
      <c r="I135" s="158">
        <f t="shared" si="459"/>
        <v>1.055036855036855</v>
      </c>
      <c r="J135" s="180">
        <f t="shared" si="460"/>
        <v>1.0602158627275096</v>
      </c>
      <c r="K135" s="180">
        <f t="shared" ref="K135:K137" si="473">+K82/K29</f>
        <v>0.94571343814891728</v>
      </c>
      <c r="L135" s="127">
        <f t="shared" si="470"/>
        <v>-0.10799916187258651</v>
      </c>
      <c r="M135" s="2"/>
      <c r="N135" s="133" t="s">
        <v>2</v>
      </c>
      <c r="O135" s="158">
        <f t="shared" ref="O135:U135" si="474">+O82/O29</f>
        <v>0.94390085050981409</v>
      </c>
      <c r="P135" s="158">
        <f t="shared" si="474"/>
        <v>1.2180554375148323</v>
      </c>
      <c r="Q135" s="158">
        <f t="shared" si="474"/>
        <v>1.4268042569945993</v>
      </c>
      <c r="R135" s="158">
        <f t="shared" si="474"/>
        <v>0.65080972754371214</v>
      </c>
      <c r="S135" s="158">
        <f t="shared" si="474"/>
        <v>0.42345756026336362</v>
      </c>
      <c r="T135" s="158">
        <f t="shared" si="474"/>
        <v>0.56681755955954216</v>
      </c>
      <c r="U135" s="158">
        <f t="shared" si="474"/>
        <v>0.70925378233805614</v>
      </c>
      <c r="V135" s="158">
        <f t="shared" si="461"/>
        <v>0.93395986195662561</v>
      </c>
      <c r="W135" s="180">
        <f t="shared" si="461"/>
        <v>1.0142891836721299</v>
      </c>
      <c r="X135" s="181">
        <f t="shared" si="461"/>
        <v>0.9841443088549936</v>
      </c>
      <c r="Y135" s="147">
        <f t="shared" si="462"/>
        <v>-2.9720197456902686E-2</v>
      </c>
      <c r="Z135" s="127">
        <f t="shared" si="463"/>
        <v>0.18372216252163143</v>
      </c>
    </row>
    <row r="136" spans="1:26" x14ac:dyDescent="0.25">
      <c r="A136" s="133" t="s">
        <v>3</v>
      </c>
      <c r="B136" s="158">
        <f t="shared" ref="B136:H136" si="475">+B83/B30</f>
        <v>1.0141438623924941</v>
      </c>
      <c r="C136" s="158">
        <f t="shared" si="475"/>
        <v>1.5003561253561255</v>
      </c>
      <c r="D136" s="158">
        <f t="shared" si="475"/>
        <v>1.393042118635786</v>
      </c>
      <c r="E136" s="158">
        <f t="shared" si="475"/>
        <v>0.60340412712757951</v>
      </c>
      <c r="F136" s="158">
        <f t="shared" si="475"/>
        <v>0.54791779565634247</v>
      </c>
      <c r="G136" s="158">
        <f t="shared" si="475"/>
        <v>0.64383873661832813</v>
      </c>
      <c r="H136" s="158">
        <f t="shared" si="475"/>
        <v>0.94983452360216003</v>
      </c>
      <c r="I136" s="158">
        <f t="shared" si="459"/>
        <v>1.0129588732863868</v>
      </c>
      <c r="J136" s="180">
        <f t="shared" si="460"/>
        <v>0.91631445477599327</v>
      </c>
      <c r="K136" s="180">
        <f t="shared" si="473"/>
        <v>1.0534568781183178</v>
      </c>
      <c r="L136" s="127">
        <f t="shared" ref="L136" si="476">+K136/J136-1</f>
        <v>0.14966742326011984</v>
      </c>
      <c r="M136" s="2"/>
      <c r="N136" s="133" t="s">
        <v>3</v>
      </c>
      <c r="O136" s="158">
        <f t="shared" ref="O136:U136" si="477">+O83/O30</f>
        <v>0.95245306681438513</v>
      </c>
      <c r="P136" s="158">
        <f t="shared" si="477"/>
        <v>1.2574450612807602</v>
      </c>
      <c r="Q136" s="158">
        <f t="shared" si="477"/>
        <v>1.4185200769415722</v>
      </c>
      <c r="R136" s="158">
        <f t="shared" si="477"/>
        <v>0.63494219853246558</v>
      </c>
      <c r="S136" s="158">
        <f t="shared" si="477"/>
        <v>0.42503599712023038</v>
      </c>
      <c r="T136" s="158">
        <f t="shared" si="477"/>
        <v>0.5738502200733443</v>
      </c>
      <c r="U136" s="158">
        <f t="shared" si="477"/>
        <v>0.73255295780480545</v>
      </c>
      <c r="V136" s="158">
        <f t="shared" si="461"/>
        <v>0.93585200104549437</v>
      </c>
      <c r="W136" s="180">
        <f t="shared" si="461"/>
        <v>1.0092835873182695</v>
      </c>
      <c r="X136" s="181">
        <f t="shared" si="461"/>
        <v>0.99192089296002062</v>
      </c>
      <c r="Y136" s="147">
        <f t="shared" si="462"/>
        <v>-1.7202988908580852E-2</v>
      </c>
      <c r="Z136" s="127">
        <f t="shared" si="463"/>
        <v>0.18470511904482168</v>
      </c>
    </row>
    <row r="137" spans="1:26" x14ac:dyDescent="0.25">
      <c r="A137" s="133" t="s">
        <v>4</v>
      </c>
      <c r="B137" s="158">
        <f t="shared" ref="B137:H137" si="478">+B84/B31</f>
        <v>0.85094948047294872</v>
      </c>
      <c r="C137" s="158">
        <f t="shared" si="478"/>
        <v>1.4351571594877763</v>
      </c>
      <c r="D137" s="158">
        <f t="shared" si="478"/>
        <v>0.92004708608157859</v>
      </c>
      <c r="E137" s="158">
        <f t="shared" si="478"/>
        <v>0.53761361438793265</v>
      </c>
      <c r="F137" s="158">
        <f t="shared" si="478"/>
        <v>0.49603685481457771</v>
      </c>
      <c r="G137" s="158">
        <f t="shared" si="478"/>
        <v>0.62381395573713017</v>
      </c>
      <c r="H137" s="158">
        <f t="shared" si="478"/>
        <v>0.86514920929001526</v>
      </c>
      <c r="I137" s="158">
        <f t="shared" si="459"/>
        <v>1.1086721384488132</v>
      </c>
      <c r="J137" s="180">
        <f t="shared" si="460"/>
        <v>1.0134721371708513</v>
      </c>
      <c r="K137" s="180">
        <f t="shared" si="473"/>
        <v>0.72472783825816489</v>
      </c>
      <c r="L137" s="127">
        <f t="shared" ref="L137" si="479">+K137/J137-1</f>
        <v>-0.28490600611747241</v>
      </c>
      <c r="M137" s="2"/>
      <c r="N137" s="133" t="s">
        <v>4</v>
      </c>
      <c r="O137" s="158">
        <f t="shared" ref="O137:U137" si="480">+O84/O31</f>
        <v>0.94448589529416327</v>
      </c>
      <c r="P137" s="158">
        <f t="shared" si="480"/>
        <v>1.3049993753069333</v>
      </c>
      <c r="Q137" s="158">
        <f t="shared" si="480"/>
        <v>1.3444035047318268</v>
      </c>
      <c r="R137" s="158">
        <f t="shared" si="480"/>
        <v>0.61459674592278202</v>
      </c>
      <c r="S137" s="158">
        <f t="shared" si="480"/>
        <v>0.42489383454119051</v>
      </c>
      <c r="T137" s="158">
        <f t="shared" si="480"/>
        <v>0.58467103775717844</v>
      </c>
      <c r="U137" s="158">
        <f t="shared" si="480"/>
        <v>0.74810584541785041</v>
      </c>
      <c r="V137" s="158">
        <f t="shared" si="461"/>
        <v>0.95036584243465461</v>
      </c>
      <c r="W137" s="180">
        <f t="shared" si="461"/>
        <v>1.0033383325689875</v>
      </c>
      <c r="X137" s="181">
        <f t="shared" si="461"/>
        <v>0.97352496217851736</v>
      </c>
      <c r="Y137" s="147">
        <f t="shared" ref="Y137" si="481">+X137/W137-1</f>
        <v>-2.9714174593663545E-2</v>
      </c>
      <c r="Z137" s="127">
        <f t="shared" ref="Z137" si="482">+POWER(X137/S137,0.2)-1</f>
        <v>0.18035687111884569</v>
      </c>
    </row>
    <row r="138" spans="1:26" x14ac:dyDescent="0.25">
      <c r="A138" s="133" t="s">
        <v>5</v>
      </c>
      <c r="B138" s="158">
        <f t="shared" ref="B138:H138" si="483">+B85/B32</f>
        <v>0.91418744951482811</v>
      </c>
      <c r="C138" s="158">
        <f t="shared" si="483"/>
        <v>1.3087366235425653</v>
      </c>
      <c r="D138" s="158">
        <f t="shared" si="483"/>
        <v>0.42325622196045015</v>
      </c>
      <c r="E138" s="158">
        <f t="shared" si="483"/>
        <v>0.59318555008210183</v>
      </c>
      <c r="F138" s="158">
        <f t="shared" si="483"/>
        <v>0.54790979712736831</v>
      </c>
      <c r="G138" s="158">
        <f t="shared" si="483"/>
        <v>0.52451345593328891</v>
      </c>
      <c r="H138" s="158">
        <f t="shared" si="483"/>
        <v>0.9223733851606265</v>
      </c>
      <c r="I138" s="158">
        <f t="shared" si="459"/>
        <v>1.0333026678932842</v>
      </c>
      <c r="J138" s="180">
        <f t="shared" si="460"/>
        <v>0.99672198320016392</v>
      </c>
      <c r="K138" s="180"/>
      <c r="L138" s="127"/>
      <c r="M138" s="2"/>
      <c r="N138" s="133" t="s">
        <v>5</v>
      </c>
      <c r="O138" s="158">
        <f t="shared" ref="O138:U138" si="484">+O85/O32</f>
        <v>0.94152542504172221</v>
      </c>
      <c r="P138" s="158">
        <f t="shared" si="484"/>
        <v>1.3568868762064556</v>
      </c>
      <c r="Q138" s="158">
        <f t="shared" si="484"/>
        <v>1.048503716623906</v>
      </c>
      <c r="R138" s="158">
        <f t="shared" si="484"/>
        <v>0.63911356549060327</v>
      </c>
      <c r="S138" s="158">
        <f t="shared" si="484"/>
        <v>0.42426001484714693</v>
      </c>
      <c r="T138" s="158">
        <f t="shared" si="484"/>
        <v>0.58516005857383824</v>
      </c>
      <c r="U138" s="158">
        <f t="shared" si="484"/>
        <v>0.77888743525557347</v>
      </c>
      <c r="V138" s="158">
        <f t="shared" si="461"/>
        <v>0.95725341402363673</v>
      </c>
      <c r="W138" s="180">
        <f t="shared" si="461"/>
        <v>1.0010895594106495</v>
      </c>
      <c r="X138" s="181"/>
      <c r="Y138" s="147"/>
      <c r="Z138" s="127"/>
    </row>
    <row r="139" spans="1:26" x14ac:dyDescent="0.25">
      <c r="A139" s="133" t="s">
        <v>6</v>
      </c>
      <c r="B139" s="158">
        <f t="shared" ref="B139:H139" si="485">+B86/B33</f>
        <v>1.1564535054268115</v>
      </c>
      <c r="C139" s="158">
        <f t="shared" si="485"/>
        <v>1.4922689679971235</v>
      </c>
      <c r="D139" s="158">
        <f t="shared" si="485"/>
        <v>0.48848536185081265</v>
      </c>
      <c r="E139" s="158">
        <f t="shared" si="485"/>
        <v>0.45109158215322148</v>
      </c>
      <c r="F139" s="158">
        <f t="shared" si="485"/>
        <v>0.5007768213310938</v>
      </c>
      <c r="G139" s="158">
        <f t="shared" si="485"/>
        <v>0.66689485213581601</v>
      </c>
      <c r="H139" s="158">
        <f t="shared" si="485"/>
        <v>0.92900431551560281</v>
      </c>
      <c r="I139" s="158">
        <f t="shared" si="459"/>
        <v>1.0204754973313925</v>
      </c>
      <c r="J139" s="180">
        <f t="shared" si="460"/>
        <v>0.98768472906403948</v>
      </c>
      <c r="K139" s="180"/>
      <c r="L139" s="127"/>
      <c r="M139" s="2"/>
      <c r="N139" s="133" t="s">
        <v>6</v>
      </c>
      <c r="O139" s="158">
        <f t="shared" ref="O139:U139" si="486">+O86/O33</f>
        <v>0.94753560477711474</v>
      </c>
      <c r="P139" s="158">
        <f t="shared" si="486"/>
        <v>1.386158303664401</v>
      </c>
      <c r="Q139" s="158">
        <f t="shared" si="486"/>
        <v>0.86792481674272137</v>
      </c>
      <c r="R139" s="158">
        <f t="shared" si="486"/>
        <v>0.64869055823569943</v>
      </c>
      <c r="S139" s="158">
        <f t="shared" si="486"/>
        <v>0.42751988274887626</v>
      </c>
      <c r="T139" s="158">
        <f t="shared" si="486"/>
        <v>0.59745603328497188</v>
      </c>
      <c r="U139" s="158">
        <f t="shared" si="486"/>
        <v>0.80131101651608949</v>
      </c>
      <c r="V139" s="158">
        <f t="shared" si="461"/>
        <v>0.96755322822426337</v>
      </c>
      <c r="W139" s="180">
        <f t="shared" si="461"/>
        <v>0.99797083171646617</v>
      </c>
      <c r="X139" s="181"/>
      <c r="Y139" s="147"/>
      <c r="Z139" s="127"/>
    </row>
    <row r="140" spans="1:26" x14ac:dyDescent="0.25">
      <c r="A140" s="133" t="s">
        <v>7</v>
      </c>
      <c r="B140" s="158">
        <f t="shared" ref="B140:H140" si="487">+B87/B34</f>
        <v>1.5076193403890914</v>
      </c>
      <c r="C140" s="158">
        <f t="shared" si="487"/>
        <v>1.7030418769608511</v>
      </c>
      <c r="D140" s="158">
        <f t="shared" si="487"/>
        <v>0.6084782528769439</v>
      </c>
      <c r="E140" s="158">
        <f t="shared" si="487"/>
        <v>0.49723584101589685</v>
      </c>
      <c r="F140" s="158">
        <f t="shared" si="487"/>
        <v>0.54587775942333683</v>
      </c>
      <c r="G140" s="158">
        <f t="shared" si="487"/>
        <v>0.65460607718256292</v>
      </c>
      <c r="H140" s="158">
        <f t="shared" si="487"/>
        <v>0.73702882483370291</v>
      </c>
      <c r="I140" s="158">
        <f t="shared" si="459"/>
        <v>0.96538329715526094</v>
      </c>
      <c r="J140" s="180">
        <f t="shared" si="460"/>
        <v>1.0714351215038973</v>
      </c>
      <c r="K140" s="180"/>
      <c r="L140" s="127"/>
      <c r="M140" s="2"/>
      <c r="N140" s="133" t="s">
        <v>7</v>
      </c>
      <c r="O140" s="158">
        <f t="shared" ref="O140:U142" si="488">+O87/O34</f>
        <v>0.99366603618942073</v>
      </c>
      <c r="P140" s="158">
        <f t="shared" si="488"/>
        <v>1.39703267183872</v>
      </c>
      <c r="Q140" s="158">
        <f t="shared" si="488"/>
        <v>0.78311685839556855</v>
      </c>
      <c r="R140" s="158">
        <f t="shared" si="488"/>
        <v>0.63614754250891981</v>
      </c>
      <c r="S140" s="158">
        <f t="shared" si="488"/>
        <v>0.43094756802920298</v>
      </c>
      <c r="T140" s="158">
        <f t="shared" si="488"/>
        <v>0.60648854318701373</v>
      </c>
      <c r="U140" s="158">
        <f t="shared" si="488"/>
        <v>0.81227656888462407</v>
      </c>
      <c r="V140" s="158">
        <f t="shared" si="461"/>
        <v>0.9885351511979128</v>
      </c>
      <c r="W140" s="180">
        <f t="shared" si="461"/>
        <v>1.0087153640434858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489">+B88/B35</f>
        <v>1.0377688747131355</v>
      </c>
      <c r="C141" s="158">
        <f t="shared" si="489"/>
        <v>1.460335998562573</v>
      </c>
      <c r="D141" s="158">
        <f t="shared" si="489"/>
        <v>0.88076542211188447</v>
      </c>
      <c r="E141" s="158">
        <f t="shared" si="489"/>
        <v>0.54601453517169329</v>
      </c>
      <c r="F141" s="158">
        <f t="shared" si="489"/>
        <v>0.46453147234838887</v>
      </c>
      <c r="G141" s="158">
        <f t="shared" si="489"/>
        <v>0.64998368412465324</v>
      </c>
      <c r="H141" s="158">
        <f t="shared" si="489"/>
        <v>0.95402278733570178</v>
      </c>
      <c r="I141" s="158">
        <f t="shared" si="459"/>
        <v>0.93361578316020521</v>
      </c>
      <c r="J141" s="180">
        <f t="shared" si="460"/>
        <v>0.93843607125965622</v>
      </c>
      <c r="K141" s="180"/>
      <c r="L141" s="127"/>
      <c r="M141" s="2"/>
      <c r="N141" s="133" t="s">
        <v>8</v>
      </c>
      <c r="O141" s="158">
        <f t="shared" ref="O141:S141" si="490">+O88/O35</f>
        <v>1.0056467690110651</v>
      </c>
      <c r="P141" s="158">
        <f t="shared" si="490"/>
        <v>1.4281249817457491</v>
      </c>
      <c r="Q141" s="158">
        <f t="shared" si="490"/>
        <v>0.77347446151494681</v>
      </c>
      <c r="R141" s="158">
        <f t="shared" si="490"/>
        <v>0.61016840459352129</v>
      </c>
      <c r="S141" s="158">
        <f t="shared" si="490"/>
        <v>0.42721864839883666</v>
      </c>
      <c r="T141" s="158">
        <f t="shared" si="488"/>
        <v>0.62842305805506471</v>
      </c>
      <c r="U141" s="158">
        <f t="shared" si="488"/>
        <v>0.84554199243100081</v>
      </c>
      <c r="V141" s="158">
        <f t="shared" si="461"/>
        <v>0.98815491001494649</v>
      </c>
      <c r="W141" s="180">
        <f t="shared" si="461"/>
        <v>1.0075090841934069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491">+B89/B36</f>
        <v>1.2783436791983644</v>
      </c>
      <c r="C142" s="158">
        <f t="shared" si="491"/>
        <v>1.492031470647569</v>
      </c>
      <c r="D142" s="158">
        <f t="shared" si="491"/>
        <v>0.79228839297504283</v>
      </c>
      <c r="E142" s="158">
        <f t="shared" si="491"/>
        <v>0.37108759088425886</v>
      </c>
      <c r="F142" s="158">
        <f t="shared" si="491"/>
        <v>0.61114659173159624</v>
      </c>
      <c r="G142" s="158">
        <f t="shared" si="491"/>
        <v>0.82689843831157583</v>
      </c>
      <c r="H142" s="158">
        <f t="shared" si="491"/>
        <v>0.86701958966602422</v>
      </c>
      <c r="I142" s="158">
        <f t="shared" si="459"/>
        <v>1.0259712837837838</v>
      </c>
      <c r="J142" s="180">
        <f t="shared" si="460"/>
        <v>0.92408088235294117</v>
      </c>
      <c r="K142" s="180"/>
      <c r="L142" s="127"/>
      <c r="M142" s="2"/>
      <c r="N142" s="133" t="s">
        <v>9</v>
      </c>
      <c r="O142" s="158">
        <f t="shared" ref="O142:S142" si="492">+O89/O36</f>
        <v>1.051110977670149</v>
      </c>
      <c r="P142" s="158">
        <f t="shared" si="492"/>
        <v>1.4591763028873506</v>
      </c>
      <c r="Q142" s="158">
        <f t="shared" si="492"/>
        <v>0.75503130955315645</v>
      </c>
      <c r="R142" s="158">
        <f t="shared" si="492"/>
        <v>0.55427341454906753</v>
      </c>
      <c r="S142" s="158">
        <f t="shared" si="492"/>
        <v>0.44493310015832438</v>
      </c>
      <c r="T142" s="158">
        <f t="shared" si="488"/>
        <v>0.64500050877068926</v>
      </c>
      <c r="U142" s="158">
        <f t="shared" si="488"/>
        <v>0.84923237993274658</v>
      </c>
      <c r="V142" s="158">
        <f t="shared" si="461"/>
        <v>1.0022486816634404</v>
      </c>
      <c r="W142" s="180">
        <f t="shared" si="461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491"/>
        <v>1.0511109776701488</v>
      </c>
      <c r="C143" s="182">
        <f t="shared" si="491"/>
        <v>1.4591763028873506</v>
      </c>
      <c r="D143" s="182">
        <f t="shared" si="491"/>
        <v>0.75503130955315645</v>
      </c>
      <c r="E143" s="182">
        <f t="shared" si="491"/>
        <v>0.55427341454906753</v>
      </c>
      <c r="F143" s="182">
        <f t="shared" si="491"/>
        <v>0.44493310015832438</v>
      </c>
      <c r="G143" s="182">
        <f t="shared" si="491"/>
        <v>0.64500050877068926</v>
      </c>
      <c r="H143" s="182">
        <f t="shared" si="491"/>
        <v>0.84923237993274658</v>
      </c>
      <c r="I143" s="182">
        <f t="shared" ref="I143:J143" si="493">+I90/I37</f>
        <v>1.0022486816634404</v>
      </c>
      <c r="J143" s="183">
        <f t="shared" si="493"/>
        <v>0.99718208823097354</v>
      </c>
      <c r="K143" s="183"/>
      <c r="L143" s="137"/>
      <c r="M143" s="3"/>
      <c r="N143" s="134" t="s">
        <v>14</v>
      </c>
      <c r="O143" s="182">
        <f t="shared" ref="O143" si="494">+AVERAGE(O131:O142)</f>
        <v>0.96320946798306428</v>
      </c>
      <c r="P143" s="182">
        <f>+AVERAGE(P131:P142)</f>
        <v>1.2762435258927145</v>
      </c>
      <c r="Q143" s="182">
        <f t="shared" ref="Q143:V143" si="495">+AVERAGE(Q131:Q142)</f>
        <v>1.1982819105771745</v>
      </c>
      <c r="R143" s="182">
        <f t="shared" si="495"/>
        <v>0.64396752306176164</v>
      </c>
      <c r="S143" s="182">
        <f t="shared" si="495"/>
        <v>0.43927996909090949</v>
      </c>
      <c r="T143" s="182">
        <f t="shared" si="495"/>
        <v>0.57190781923156908</v>
      </c>
      <c r="U143" s="182">
        <f t="shared" si="495"/>
        <v>0.74779381491712071</v>
      </c>
      <c r="V143" s="182">
        <f t="shared" si="495"/>
        <v>0.93679857207248995</v>
      </c>
      <c r="W143" s="183">
        <f t="shared" ref="W143:X143" si="496">+AVERAGE(W131:W142)</f>
        <v>1.0073838363223404</v>
      </c>
      <c r="X143" s="184">
        <f t="shared" si="496"/>
        <v>0.98849703528350974</v>
      </c>
      <c r="Y143" s="149">
        <f>+X143/W143-1</f>
        <v>-1.8748366171707498E-2</v>
      </c>
      <c r="Z143" s="156">
        <f>+POWER(X143/S143,0.2)-1</f>
        <v>0.17610688994728552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497">+C143/C161</f>
        <v>0.40238889271218575</v>
      </c>
      <c r="D144" s="138">
        <f t="shared" si="497"/>
        <v>0.25319210844340095</v>
      </c>
      <c r="E144" s="138">
        <f t="shared" si="497"/>
        <v>0.21671883819098134</v>
      </c>
      <c r="F144" s="138">
        <f t="shared" si="497"/>
        <v>0.22202614975102267</v>
      </c>
      <c r="G144" s="138">
        <f t="shared" ref="G144:H144" si="498">+G143/G$161</f>
        <v>0.24171146026658805</v>
      </c>
      <c r="H144" s="138">
        <f t="shared" si="498"/>
        <v>0.27272780220679771</v>
      </c>
      <c r="I144" s="138">
        <f t="shared" ref="I144:J144" si="499">+I143/I$161</f>
        <v>0.29050725343278511</v>
      </c>
      <c r="J144" s="139">
        <f t="shared" si="499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00">+P143/P$161</f>
        <v>0.37407199049011092</v>
      </c>
      <c r="Q144" s="138">
        <f t="shared" ref="Q144" si="501">+Q143/Q$161</f>
        <v>0.34671968808554338</v>
      </c>
      <c r="R144" s="138">
        <f t="shared" ref="R144" si="502">+R143/R$161</f>
        <v>0.23541500932626155</v>
      </c>
      <c r="S144" s="138">
        <f t="shared" ref="S144:U144" si="503">+S143/S$161</f>
        <v>0.21000007075178767</v>
      </c>
      <c r="T144" s="222">
        <f t="shared" si="503"/>
        <v>0.23788678967932098</v>
      </c>
      <c r="U144" s="138">
        <f t="shared" si="503"/>
        <v>0.25693143397224727</v>
      </c>
      <c r="V144" s="138">
        <f t="shared" ref="V144" si="504">+V143/V$161</f>
        <v>0.28332033928612677</v>
      </c>
      <c r="W144" s="139">
        <f t="shared" ref="W144:X144" si="505">+W143/W$161</f>
        <v>0.29083367849329583</v>
      </c>
      <c r="X144" s="223">
        <f t="shared" si="505"/>
        <v>0.28638072770566786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06">+G143/F143-1</f>
        <v>0.4496572822772078</v>
      </c>
      <c r="H145" s="142">
        <f t="shared" ref="H145:J145" si="507">+H143/G143-1</f>
        <v>0.31663831017948207</v>
      </c>
      <c r="I145" s="142">
        <f t="shared" si="507"/>
        <v>0.18018189761300873</v>
      </c>
      <c r="J145" s="143">
        <f t="shared" si="507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508">+Q143/P143-1</f>
        <v>-6.1086786129635362E-2</v>
      </c>
      <c r="R145" s="142">
        <f t="shared" ref="R145" si="509">+R143/Q143-1</f>
        <v>-0.46259096680214185</v>
      </c>
      <c r="S145" s="142">
        <f t="shared" ref="S145" si="510">+S143/R143-1</f>
        <v>-0.31785384610338641</v>
      </c>
      <c r="T145" s="142">
        <f t="shared" ref="T145" si="511">+T143/S143-1</f>
        <v>0.30192100590230209</v>
      </c>
      <c r="U145" s="142">
        <f t="shared" ref="U145:X145" si="512">+U143/T143-1</f>
        <v>0.30754256153006754</v>
      </c>
      <c r="V145" s="142">
        <f t="shared" si="512"/>
        <v>0.25274982673708934</v>
      </c>
      <c r="W145" s="143">
        <f t="shared" si="512"/>
        <v>7.5347322630620495E-2</v>
      </c>
      <c r="X145" s="155">
        <f t="shared" si="512"/>
        <v>-1.8748366171707498E-2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6" t="s">
        <v>275</v>
      </c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8"/>
      <c r="M147" s="2"/>
      <c r="N147" s="376" t="s">
        <v>275</v>
      </c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8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513">+C148+1</f>
        <v>2018</v>
      </c>
      <c r="E148" s="129">
        <f t="shared" ref="E148" si="514">+D148+1</f>
        <v>2019</v>
      </c>
      <c r="F148" s="129">
        <f t="shared" ref="F148" si="515">+E148+1</f>
        <v>2020</v>
      </c>
      <c r="G148" s="129">
        <f t="shared" ref="G148" si="516">+F148+1</f>
        <v>2021</v>
      </c>
      <c r="H148" s="129">
        <f t="shared" ref="H148" si="517">+G148+1</f>
        <v>2022</v>
      </c>
      <c r="I148" s="129">
        <f t="shared" ref="I148:K148" si="518">+H148+1</f>
        <v>2023</v>
      </c>
      <c r="J148" s="130">
        <f t="shared" si="518"/>
        <v>2024</v>
      </c>
      <c r="K148" s="130">
        <f t="shared" si="518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19">+P148+1</f>
        <v>2018</v>
      </c>
      <c r="R148" s="129">
        <f t="shared" ref="R148" si="520">+Q148+1</f>
        <v>2019</v>
      </c>
      <c r="S148" s="129">
        <f t="shared" ref="S148" si="521">+R148+1</f>
        <v>2020</v>
      </c>
      <c r="T148" s="129">
        <f t="shared" ref="T148" si="522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23">+C96/C43</f>
        <v>3.1125771376722597</v>
      </c>
      <c r="D149" s="158">
        <f t="shared" si="523"/>
        <v>3.6173414000850692</v>
      </c>
      <c r="E149" s="158">
        <f t="shared" si="523"/>
        <v>2.3572389417877773</v>
      </c>
      <c r="F149" s="158">
        <f t="shared" si="523"/>
        <v>1.4549292363057544</v>
      </c>
      <c r="G149" s="158">
        <f t="shared" si="523"/>
        <v>2.5473986032596332</v>
      </c>
      <c r="H149" s="158">
        <f t="shared" si="523"/>
        <v>2.7729792659940125</v>
      </c>
      <c r="I149" s="158">
        <f t="shared" si="523"/>
        <v>2.9944879268157338</v>
      </c>
      <c r="J149" s="180">
        <f t="shared" ref="J149:K160" si="524">+J96/J43</f>
        <v>3.2007603558112909</v>
      </c>
      <c r="K149" s="180">
        <f t="shared" si="524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25">+P96/P43</f>
        <v>3.1978778835982387</v>
      </c>
      <c r="Q149" s="158">
        <f t="shared" si="525"/>
        <v>3.6724188222985159</v>
      </c>
      <c r="R149" s="158">
        <f t="shared" si="525"/>
        <v>2.8891276959717902</v>
      </c>
      <c r="S149" s="158">
        <f t="shared" si="525"/>
        <v>2.4285113630218595</v>
      </c>
      <c r="T149" s="158">
        <f t="shared" si="525"/>
        <v>2.1012476390483461</v>
      </c>
      <c r="U149" s="158">
        <f t="shared" si="525"/>
        <v>2.6826882586396787</v>
      </c>
      <c r="V149" s="158">
        <f t="shared" si="525"/>
        <v>3.1284827706091605</v>
      </c>
      <c r="W149" s="180">
        <f t="shared" si="525"/>
        <v>3.4768034834807708</v>
      </c>
      <c r="X149" s="180">
        <f t="shared" si="525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526">+B97/B44</f>
        <v>2.9402413453871841</v>
      </c>
      <c r="C150" s="158">
        <f t="shared" si="526"/>
        <v>3.5118883103883589</v>
      </c>
      <c r="D150" s="158">
        <f t="shared" si="526"/>
        <v>3.7017090913980666</v>
      </c>
      <c r="E150" s="158">
        <f t="shared" si="526"/>
        <v>2.8696607838982007</v>
      </c>
      <c r="F150" s="158">
        <f t="shared" si="526"/>
        <v>1.3850255317515165</v>
      </c>
      <c r="G150" s="158">
        <f t="shared" si="526"/>
        <v>2.4889148054367354</v>
      </c>
      <c r="H150" s="158">
        <f t="shared" si="526"/>
        <v>2.975189000889416</v>
      </c>
      <c r="I150" s="158">
        <f t="shared" si="523"/>
        <v>3.299112394396321</v>
      </c>
      <c r="J150" s="180">
        <f t="shared" si="524"/>
        <v>3.4392852016649926</v>
      </c>
      <c r="K150" s="180">
        <f t="shared" si="524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527">+O97/O44</f>
        <v>3.0955860052538546</v>
      </c>
      <c r="P150" s="158">
        <f t="shared" si="527"/>
        <v>3.2344693515016072</v>
      </c>
      <c r="Q150" s="158">
        <f t="shared" si="527"/>
        <v>3.6841379810656893</v>
      </c>
      <c r="R150" s="158">
        <f t="shared" si="527"/>
        <v>2.8463208511397227</v>
      </c>
      <c r="S150" s="158">
        <f t="shared" si="527"/>
        <v>2.2789247316122321</v>
      </c>
      <c r="T150" s="158">
        <f t="shared" si="527"/>
        <v>2.2120814867188736</v>
      </c>
      <c r="U150" s="158">
        <f t="shared" si="527"/>
        <v>2.7171320539196757</v>
      </c>
      <c r="V150" s="158">
        <f t="shared" si="525"/>
        <v>3.1511034277842298</v>
      </c>
      <c r="W150" s="180">
        <f t="shared" si="525"/>
        <v>3.4878232513982628</v>
      </c>
      <c r="X150" s="180">
        <f t="shared" si="525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528">+B98/B45</f>
        <v>3.1364050092730973</v>
      </c>
      <c r="C151" s="158">
        <f t="shared" si="528"/>
        <v>3.7380268989255829</v>
      </c>
      <c r="D151" s="158">
        <f t="shared" si="528"/>
        <v>3.738832300338423</v>
      </c>
      <c r="E151" s="158">
        <f t="shared" si="528"/>
        <v>2.8420716543825013</v>
      </c>
      <c r="F151" s="158">
        <f t="shared" si="528"/>
        <v>1.9732136855548832</v>
      </c>
      <c r="G151" s="158">
        <f t="shared" si="528"/>
        <v>2.4640022887684543</v>
      </c>
      <c r="H151" s="158">
        <f t="shared" si="528"/>
        <v>2.8852960230055777</v>
      </c>
      <c r="I151" s="158">
        <f t="shared" si="523"/>
        <v>3.4512185248158045</v>
      </c>
      <c r="J151" s="180">
        <f t="shared" si="524"/>
        <v>3.4705600136700907</v>
      </c>
      <c r="K151" s="180">
        <f t="shared" si="524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529">+O98/O45</f>
        <v>3.14483703242955</v>
      </c>
      <c r="P151" s="158">
        <f t="shared" si="529"/>
        <v>3.27973740369191</v>
      </c>
      <c r="Q151" s="158">
        <f t="shared" si="529"/>
        <v>3.6841716053510645</v>
      </c>
      <c r="R151" s="158">
        <f t="shared" si="529"/>
        <v>2.7915163400902805</v>
      </c>
      <c r="S151" s="158">
        <f t="shared" si="529"/>
        <v>2.2185472078144777</v>
      </c>
      <c r="T151" s="158">
        <f t="shared" si="529"/>
        <v>2.2533851683986263</v>
      </c>
      <c r="U151" s="158">
        <f t="shared" si="529"/>
        <v>2.7545763993478181</v>
      </c>
      <c r="V151" s="158">
        <f t="shared" si="525"/>
        <v>3.1998007591599076</v>
      </c>
      <c r="W151" s="180">
        <f t="shared" si="525"/>
        <v>3.4900042624403422</v>
      </c>
      <c r="X151" s="180">
        <f t="shared" si="525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530">+B99/B46</f>
        <v>3.2274408308549187</v>
      </c>
      <c r="C152" s="158">
        <f t="shared" si="530"/>
        <v>3.6059269248791415</v>
      </c>
      <c r="D152" s="158">
        <f t="shared" si="530"/>
        <v>3.4112512018180232</v>
      </c>
      <c r="E152" s="158">
        <f t="shared" si="530"/>
        <v>3.0222874576511698</v>
      </c>
      <c r="F152" s="158">
        <f t="shared" si="530"/>
        <v>2.1970097909499868</v>
      </c>
      <c r="G152" s="158">
        <f t="shared" si="530"/>
        <v>2.322507672853666</v>
      </c>
      <c r="H152" s="158">
        <f t="shared" si="530"/>
        <v>2.8658747776255926</v>
      </c>
      <c r="I152" s="158">
        <f t="shared" si="523"/>
        <v>3.4192504213370425</v>
      </c>
      <c r="J152" s="180">
        <f t="shared" si="524"/>
        <v>3.2911643421179755</v>
      </c>
      <c r="K152" s="180">
        <f t="shared" ref="K152" si="531">+K99/K46</f>
        <v>3.4833374591835526</v>
      </c>
      <c r="L152" s="127">
        <f t="shared" ref="L152:L153" si="532">+K152/J152-1</f>
        <v>5.8390617146121482E-2</v>
      </c>
      <c r="M152" s="2"/>
      <c r="N152" s="133" t="s">
        <v>1</v>
      </c>
      <c r="O152" s="158">
        <f t="shared" ref="O152:U152" si="533">+O99/O46</f>
        <v>3.1620212089744695</v>
      </c>
      <c r="P152" s="158">
        <f t="shared" si="533"/>
        <v>3.3078287764241656</v>
      </c>
      <c r="Q152" s="158">
        <f t="shared" si="533"/>
        <v>3.6677779008296962</v>
      </c>
      <c r="R152" s="158">
        <f t="shared" si="533"/>
        <v>2.7710471875414604</v>
      </c>
      <c r="S152" s="158">
        <f t="shared" si="533"/>
        <v>2.1672105796172638</v>
      </c>
      <c r="T152" s="158">
        <f t="shared" si="533"/>
        <v>2.2641352602876132</v>
      </c>
      <c r="U152" s="158">
        <f t="shared" si="533"/>
        <v>2.8066328771516411</v>
      </c>
      <c r="V152" s="158">
        <f t="shared" si="525"/>
        <v>3.2484383183817296</v>
      </c>
      <c r="W152" s="180">
        <f t="shared" si="525"/>
        <v>3.4753915796731514</v>
      </c>
      <c r="X152" s="158">
        <f t="shared" si="525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534">+B100/B47</f>
        <v>3.0810346934467931</v>
      </c>
      <c r="C153" s="158">
        <f t="shared" si="534"/>
        <v>3.8224073108787024</v>
      </c>
      <c r="D153" s="158">
        <f t="shared" si="534"/>
        <v>3.5679411705611699</v>
      </c>
      <c r="E153" s="158">
        <f t="shared" si="534"/>
        <v>3.1261302564886275</v>
      </c>
      <c r="F153" s="158">
        <f t="shared" si="534"/>
        <v>1.9126207877265107</v>
      </c>
      <c r="G153" s="158">
        <f t="shared" si="534"/>
        <v>2.4524419110187914</v>
      </c>
      <c r="H153" s="158">
        <f t="shared" si="534"/>
        <v>3.3147815805586638</v>
      </c>
      <c r="I153" s="158">
        <f t="shared" si="523"/>
        <v>3.4772753423081344</v>
      </c>
      <c r="J153" s="180">
        <f t="shared" si="524"/>
        <v>3.5073113872024479</v>
      </c>
      <c r="K153" s="180">
        <f t="shared" ref="K153:K155" si="535">+K100/K47</f>
        <v>3.5177020466673894</v>
      </c>
      <c r="L153" s="127">
        <f t="shared" si="532"/>
        <v>2.9625711315097725E-3</v>
      </c>
      <c r="M153" s="2"/>
      <c r="N153" s="133" t="s">
        <v>2</v>
      </c>
      <c r="O153" s="158">
        <f t="shared" ref="O153:U153" si="536">+O100/O47</f>
        <v>3.1641742430914412</v>
      </c>
      <c r="P153" s="158">
        <f t="shared" si="536"/>
        <v>3.3686255334272386</v>
      </c>
      <c r="Q153" s="158">
        <f t="shared" si="536"/>
        <v>3.6463701336393242</v>
      </c>
      <c r="R153" s="158">
        <f t="shared" si="536"/>
        <v>2.7463456532507089</v>
      </c>
      <c r="S153" s="158">
        <f t="shared" si="536"/>
        <v>2.0849428479335499</v>
      </c>
      <c r="T153" s="158">
        <f t="shared" si="536"/>
        <v>2.3119347826510022</v>
      </c>
      <c r="U153" s="158">
        <f t="shared" si="536"/>
        <v>2.8813652814452313</v>
      </c>
      <c r="V153" s="158">
        <f t="shared" si="525"/>
        <v>3.2586526838345149</v>
      </c>
      <c r="W153" s="180">
        <f t="shared" si="525"/>
        <v>3.4781734406611147</v>
      </c>
      <c r="X153" s="158">
        <f t="shared" si="525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537">+B101/B48</f>
        <v>3.1294469460095278</v>
      </c>
      <c r="C154" s="158">
        <f t="shared" si="537"/>
        <v>3.4529128403649962</v>
      </c>
      <c r="D154" s="158">
        <f t="shared" si="537"/>
        <v>3.6357018643587979</v>
      </c>
      <c r="E154" s="158">
        <f t="shared" si="537"/>
        <v>2.7757799637128557</v>
      </c>
      <c r="F154" s="158">
        <f t="shared" si="537"/>
        <v>2.0163172943554022</v>
      </c>
      <c r="G154" s="158">
        <f t="shared" si="537"/>
        <v>2.7082832373599945</v>
      </c>
      <c r="H154" s="158">
        <f t="shared" si="537"/>
        <v>3.1624675528835278</v>
      </c>
      <c r="I154" s="158">
        <f t="shared" si="523"/>
        <v>3.9450040448730341</v>
      </c>
      <c r="J154" s="180">
        <f t="shared" si="524"/>
        <v>3.8381717007185201</v>
      </c>
      <c r="K154" s="180">
        <f t="shared" si="535"/>
        <v>3.483424361742665</v>
      </c>
      <c r="L154" s="127">
        <f t="shared" ref="L154" si="538">+K154/J154-1</f>
        <v>-9.2426125415245197E-2</v>
      </c>
      <c r="M154" s="2"/>
      <c r="N154" s="133" t="s">
        <v>3</v>
      </c>
      <c r="O154" s="158">
        <f t="shared" ref="O154:U154" si="539">+O101/O48</f>
        <v>3.1682733149136211</v>
      </c>
      <c r="P154" s="158">
        <f t="shared" si="539"/>
        <v>3.3952831125098264</v>
      </c>
      <c r="Q154" s="158">
        <f t="shared" si="539"/>
        <v>3.6636737330837077</v>
      </c>
      <c r="R154" s="158">
        <f t="shared" si="539"/>
        <v>2.6983789172159955</v>
      </c>
      <c r="S154" s="158">
        <f t="shared" si="539"/>
        <v>2.040940045071657</v>
      </c>
      <c r="T154" s="158">
        <f t="shared" si="539"/>
        <v>2.3705086714336945</v>
      </c>
      <c r="U154" s="158">
        <f t="shared" si="539"/>
        <v>2.9236621321898077</v>
      </c>
      <c r="V154" s="158">
        <f t="shared" si="525"/>
        <v>3.3127746759818977</v>
      </c>
      <c r="W154" s="180">
        <f t="shared" si="525"/>
        <v>3.4670073832226467</v>
      </c>
      <c r="X154" s="158">
        <f t="shared" ref="X154:X155" si="540">+X101/X48</f>
        <v>3.446996020726631</v>
      </c>
      <c r="Y154" s="78">
        <f t="shared" ref="Y154" si="541">+X154/W154-1</f>
        <v>-5.7719411250329866E-3</v>
      </c>
      <c r="Z154" s="127">
        <f t="shared" ref="Z154" si="542">+POWER(X154/S154,0.2)-1</f>
        <v>0.11050906243453684</v>
      </c>
    </row>
    <row r="155" spans="1:26" x14ac:dyDescent="0.25">
      <c r="A155" s="133" t="s">
        <v>4</v>
      </c>
      <c r="B155" s="158">
        <f t="shared" ref="B155:H155" si="543">+B102/B49</f>
        <v>3.1720201584588068</v>
      </c>
      <c r="C155" s="158">
        <f t="shared" si="543"/>
        <v>3.645858802768239</v>
      </c>
      <c r="D155" s="158">
        <f t="shared" si="543"/>
        <v>3.2487965343512082</v>
      </c>
      <c r="E155" s="158">
        <f t="shared" si="543"/>
        <v>2.7747462621412198</v>
      </c>
      <c r="F155" s="158">
        <f t="shared" si="543"/>
        <v>2.2884577270428008</v>
      </c>
      <c r="G155" s="158">
        <f t="shared" si="543"/>
        <v>2.9591638111817482</v>
      </c>
      <c r="H155" s="158">
        <f t="shared" si="543"/>
        <v>3.2916135761251164</v>
      </c>
      <c r="I155" s="158">
        <f t="shared" si="523"/>
        <v>3.5487778420595895</v>
      </c>
      <c r="J155" s="180">
        <f t="shared" si="524"/>
        <v>3.4614322318017838</v>
      </c>
      <c r="K155" s="180">
        <f t="shared" si="535"/>
        <v>3.506721374898512</v>
      </c>
      <c r="L155" s="127">
        <f t="shared" ref="L155" si="544">+K155/J155-1</f>
        <v>1.3083931755368816E-2</v>
      </c>
      <c r="M155" s="2"/>
      <c r="N155" s="133" t="s">
        <v>4</v>
      </c>
      <c r="O155" s="158">
        <f t="shared" ref="O155:U155" si="545">+O102/O49</f>
        <v>3.1477056510749786</v>
      </c>
      <c r="P155" s="158">
        <f t="shared" si="545"/>
        <v>3.432847313042485</v>
      </c>
      <c r="Q155" s="158">
        <f t="shared" si="545"/>
        <v>3.6207802063819878</v>
      </c>
      <c r="R155" s="158">
        <f t="shared" si="545"/>
        <v>2.6618742478172761</v>
      </c>
      <c r="S155" s="158">
        <f t="shared" si="545"/>
        <v>2.0141565890210384</v>
      </c>
      <c r="T155" s="158">
        <f t="shared" si="545"/>
        <v>2.4234147181508554</v>
      </c>
      <c r="U155" s="158">
        <f t="shared" si="545"/>
        <v>2.9436505380421534</v>
      </c>
      <c r="V155" s="158">
        <f t="shared" si="525"/>
        <v>3.332233178122654</v>
      </c>
      <c r="W155" s="180">
        <f t="shared" si="525"/>
        <v>3.4596041131949495</v>
      </c>
      <c r="X155" s="158">
        <f t="shared" si="540"/>
        <v>3.4507450671705486</v>
      </c>
      <c r="Y155" s="78">
        <f t="shared" ref="Y155" si="546">+X155/W155-1</f>
        <v>-2.5607109179378584E-3</v>
      </c>
      <c r="Z155" s="127">
        <f t="shared" ref="Z155" si="547">+POWER(X155/S155,0.2)-1</f>
        <v>0.11368899683386546</v>
      </c>
    </row>
    <row r="156" spans="1:26" x14ac:dyDescent="0.25">
      <c r="A156" s="133" t="s">
        <v>5</v>
      </c>
      <c r="B156" s="158">
        <f t="shared" ref="B156:H156" si="548">+B103/B50</f>
        <v>3.1587602011863463</v>
      </c>
      <c r="C156" s="158">
        <f t="shared" si="548"/>
        <v>3.5549268430288277</v>
      </c>
      <c r="D156" s="158">
        <f t="shared" si="548"/>
        <v>2.5038633015483724</v>
      </c>
      <c r="E156" s="158">
        <f t="shared" si="548"/>
        <v>2.7678256657957427</v>
      </c>
      <c r="F156" s="158">
        <f t="shared" si="548"/>
        <v>2.1716076529959611</v>
      </c>
      <c r="G156" s="158">
        <f t="shared" si="548"/>
        <v>2.8002734883585609</v>
      </c>
      <c r="H156" s="158">
        <f t="shared" si="548"/>
        <v>3.450606264801964</v>
      </c>
      <c r="I156" s="158">
        <f t="shared" si="523"/>
        <v>3.7821310875137311</v>
      </c>
      <c r="J156" s="180">
        <f t="shared" si="524"/>
        <v>3.5122831990293815</v>
      </c>
      <c r="K156" s="180"/>
      <c r="L156" s="127"/>
      <c r="M156" s="2"/>
      <c r="N156" s="133" t="s">
        <v>5</v>
      </c>
      <c r="O156" s="158">
        <f t="shared" ref="O156:U156" si="549">+O103/O50</f>
        <v>3.1400859862461954</v>
      </c>
      <c r="P156" s="158">
        <f t="shared" si="549"/>
        <v>3.4788213764705431</v>
      </c>
      <c r="Q156" s="158">
        <f t="shared" si="549"/>
        <v>3.457609168048541</v>
      </c>
      <c r="R156" s="158">
        <f t="shared" si="549"/>
        <v>2.6912203040081826</v>
      </c>
      <c r="S156" s="158">
        <f t="shared" si="549"/>
        <v>1.9691064477936575</v>
      </c>
      <c r="T156" s="158">
        <f t="shared" si="549"/>
        <v>2.4766372227491407</v>
      </c>
      <c r="U156" s="158">
        <f t="shared" si="549"/>
        <v>3.0012256849859411</v>
      </c>
      <c r="V156" s="158">
        <f t="shared" si="525"/>
        <v>3.3527896422097268</v>
      </c>
      <c r="W156" s="180">
        <f t="shared" si="525"/>
        <v>3.439258383564177</v>
      </c>
      <c r="X156" s="158"/>
      <c r="Y156" s="78"/>
      <c r="Z156" s="127"/>
    </row>
    <row r="157" spans="1:26" x14ac:dyDescent="0.25">
      <c r="A157" s="133" t="s">
        <v>6</v>
      </c>
      <c r="B157" s="158">
        <f t="shared" ref="B157:H157" si="550">+B104/B51</f>
        <v>3.4412963727243553</v>
      </c>
      <c r="C157" s="158">
        <f t="shared" si="550"/>
        <v>3.6752573917634637</v>
      </c>
      <c r="D157" s="158">
        <f t="shared" si="550"/>
        <v>1.996777051619655</v>
      </c>
      <c r="E157" s="158">
        <f t="shared" si="550"/>
        <v>2.4488325399138575</v>
      </c>
      <c r="F157" s="158">
        <f t="shared" si="550"/>
        <v>2.3117440191764835</v>
      </c>
      <c r="G157" s="158">
        <f t="shared" si="550"/>
        <v>3.1096090272775965</v>
      </c>
      <c r="H157" s="158">
        <f t="shared" si="550"/>
        <v>3.1141356455041893</v>
      </c>
      <c r="I157" s="158">
        <f t="shared" si="523"/>
        <v>3.5083963708156789</v>
      </c>
      <c r="J157" s="180">
        <f t="shared" si="524"/>
        <v>3.7089552238805967</v>
      </c>
      <c r="K157" s="180"/>
      <c r="L157" s="127"/>
      <c r="M157" s="2"/>
      <c r="N157" s="133" t="s">
        <v>6</v>
      </c>
      <c r="O157" s="158">
        <f t="shared" ref="O157:U157" si="551">+O104/O51</f>
        <v>3.1403451047047217</v>
      </c>
      <c r="P157" s="158">
        <f t="shared" si="551"/>
        <v>3.4977345095989838</v>
      </c>
      <c r="Q157" s="158">
        <f t="shared" si="551"/>
        <v>3.2534842737452299</v>
      </c>
      <c r="R157" s="158">
        <f t="shared" si="551"/>
        <v>2.7469939195882782</v>
      </c>
      <c r="S157" s="158">
        <f t="shared" si="551"/>
        <v>1.9666382835745895</v>
      </c>
      <c r="T157" s="158">
        <f t="shared" si="551"/>
        <v>2.5413853600917169</v>
      </c>
      <c r="U157" s="158">
        <f t="shared" si="551"/>
        <v>3.0004441999363656</v>
      </c>
      <c r="V157" s="158">
        <f t="shared" si="525"/>
        <v>3.3940943894472535</v>
      </c>
      <c r="W157" s="180">
        <f t="shared" si="525"/>
        <v>3.4557686125174305</v>
      </c>
      <c r="X157" s="158"/>
      <c r="Y157" s="78"/>
      <c r="Z157" s="127"/>
    </row>
    <row r="158" spans="1:26" x14ac:dyDescent="0.25">
      <c r="A158" s="133" t="s">
        <v>7</v>
      </c>
      <c r="B158" s="158">
        <f t="shared" ref="B158:H158" si="552">+B105/B52</f>
        <v>3.2568966715308179</v>
      </c>
      <c r="C158" s="158">
        <f t="shared" si="552"/>
        <v>3.8491833719351489</v>
      </c>
      <c r="D158" s="158">
        <f t="shared" si="552"/>
        <v>2.3621957748711613</v>
      </c>
      <c r="E158" s="158">
        <f t="shared" si="552"/>
        <v>2.2581025714604559</v>
      </c>
      <c r="F158" s="158">
        <f t="shared" si="552"/>
        <v>2.3180826105279051</v>
      </c>
      <c r="G158" s="158">
        <f t="shared" si="552"/>
        <v>2.8225149792594864</v>
      </c>
      <c r="H158" s="158">
        <f t="shared" si="552"/>
        <v>3.269360784449193</v>
      </c>
      <c r="I158" s="158">
        <f t="shared" si="523"/>
        <v>3.4064259503067311</v>
      </c>
      <c r="J158" s="180">
        <f t="shared" si="524"/>
        <v>3.4040810056581075</v>
      </c>
      <c r="K158" s="180"/>
      <c r="L158" s="127"/>
      <c r="M158" s="2"/>
      <c r="N158" s="133" t="s">
        <v>7</v>
      </c>
      <c r="O158" s="158">
        <f t="shared" ref="O158:U158" si="553">+O105/O52</f>
        <v>3.1326804244552267</v>
      </c>
      <c r="P158" s="158">
        <f t="shared" si="553"/>
        <v>3.5526671266854075</v>
      </c>
      <c r="Q158" s="158">
        <f t="shared" si="553"/>
        <v>3.0957684415000362</v>
      </c>
      <c r="R158" s="158">
        <f t="shared" si="553"/>
        <v>2.7385954943398541</v>
      </c>
      <c r="S158" s="158">
        <f t="shared" si="553"/>
        <v>1.9717169204766889</v>
      </c>
      <c r="T158" s="158">
        <f t="shared" si="553"/>
        <v>2.5838405702801648</v>
      </c>
      <c r="U158" s="158">
        <f t="shared" si="553"/>
        <v>3.0360613830619325</v>
      </c>
      <c r="V158" s="158">
        <f t="shared" si="525"/>
        <v>3.4075555037345429</v>
      </c>
      <c r="W158" s="180">
        <f t="shared" si="525"/>
        <v>3.4551449614589482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554">+B106/B53</f>
        <v>3.5157720765290486</v>
      </c>
      <c r="C159" s="158">
        <f t="shared" si="554"/>
        <v>3.727424364431152</v>
      </c>
      <c r="D159" s="158">
        <f t="shared" si="554"/>
        <v>2.9700929642475176</v>
      </c>
      <c r="E159" s="158">
        <f t="shared" si="554"/>
        <v>2.3571323885863746</v>
      </c>
      <c r="F159" s="158">
        <f t="shared" si="554"/>
        <v>2.1063404923912841</v>
      </c>
      <c r="G159" s="158">
        <f t="shared" si="554"/>
        <v>2.7382308177217745</v>
      </c>
      <c r="H159" s="158">
        <f t="shared" si="554"/>
        <v>2.9944879268157338</v>
      </c>
      <c r="I159" s="158">
        <f t="shared" si="523"/>
        <v>3.3520888124620671</v>
      </c>
      <c r="J159" s="180">
        <f t="shared" si="524"/>
        <v>3.2449889783154764</v>
      </c>
      <c r="K159" s="180"/>
      <c r="L159" s="127"/>
      <c r="M159" s="2"/>
      <c r="N159" s="133" t="s">
        <v>8</v>
      </c>
      <c r="O159" s="158">
        <f t="shared" ref="O159:U159" si="555">+O106/O53</f>
        <v>3.1625101554205433</v>
      </c>
      <c r="P159" s="158">
        <f t="shared" si="555"/>
        <v>3.5689333286013536</v>
      </c>
      <c r="Q159" s="158">
        <f t="shared" si="555"/>
        <v>3.0444047131522787</v>
      </c>
      <c r="R159" s="158">
        <f t="shared" si="555"/>
        <v>2.6864885256969786</v>
      </c>
      <c r="S159" s="158">
        <f t="shared" si="555"/>
        <v>1.9570419432141577</v>
      </c>
      <c r="T159" s="158">
        <f t="shared" si="555"/>
        <v>2.6423673751111361</v>
      </c>
      <c r="U159" s="158">
        <f t="shared" si="555"/>
        <v>3.0644758759796131</v>
      </c>
      <c r="V159" s="158">
        <f t="shared" si="525"/>
        <v>3.4420737758865054</v>
      </c>
      <c r="W159" s="180">
        <f t="shared" si="525"/>
        <v>3.4452479959402207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556">+B107/B54</f>
        <v>3.2310846794863073</v>
      </c>
      <c r="C160" s="158">
        <f t="shared" si="556"/>
        <v>3.8826961263831206</v>
      </c>
      <c r="D160" s="158">
        <f t="shared" si="556"/>
        <v>2.9151234777260742</v>
      </c>
      <c r="E160" s="158">
        <f t="shared" si="556"/>
        <v>1.7362241166676111</v>
      </c>
      <c r="F160" s="158">
        <f t="shared" si="556"/>
        <v>2.3530379930949481</v>
      </c>
      <c r="G160" s="158">
        <f t="shared" si="556"/>
        <v>2.6892850002306945</v>
      </c>
      <c r="H160" s="158">
        <f t="shared" si="556"/>
        <v>3.2528069807156599</v>
      </c>
      <c r="I160" s="158">
        <f t="shared" si="523"/>
        <v>3.3375335168674192</v>
      </c>
      <c r="J160" s="180">
        <f t="shared" si="524"/>
        <v>3.2203711041813827</v>
      </c>
      <c r="K160" s="180"/>
      <c r="L160" s="127"/>
      <c r="M160" s="2"/>
      <c r="N160" s="133" t="s">
        <v>9</v>
      </c>
      <c r="O160" s="158">
        <f t="shared" ref="O160:U160" si="557">+O107/O54</f>
        <v>3.1825352876209614</v>
      </c>
      <c r="P160" s="158">
        <f t="shared" si="557"/>
        <v>3.626283750160685</v>
      </c>
      <c r="Q160" s="158">
        <f t="shared" si="557"/>
        <v>2.9820491412430323</v>
      </c>
      <c r="R160" s="158">
        <f t="shared" si="557"/>
        <v>2.5575691489293586</v>
      </c>
      <c r="S160" s="158">
        <f t="shared" si="557"/>
        <v>2.0039671032320596</v>
      </c>
      <c r="T160" s="158">
        <f t="shared" si="557"/>
        <v>2.6684730134818855</v>
      </c>
      <c r="U160" s="158">
        <f t="shared" si="557"/>
        <v>3.113846014455139</v>
      </c>
      <c r="V160" s="158">
        <f t="shared" si="525"/>
        <v>3.4499953781544099</v>
      </c>
      <c r="W160" s="180">
        <f t="shared" si="525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558">+B108/B55</f>
        <v>3.1825352876209623</v>
      </c>
      <c r="C161" s="182">
        <f t="shared" si="558"/>
        <v>3.626283750160685</v>
      </c>
      <c r="D161" s="182">
        <f t="shared" si="558"/>
        <v>2.9820491412430323</v>
      </c>
      <c r="E161" s="182">
        <f t="shared" si="558"/>
        <v>2.5575691489293586</v>
      </c>
      <c r="F161" s="182">
        <f t="shared" si="558"/>
        <v>2.0039671032320596</v>
      </c>
      <c r="G161" s="182">
        <f t="shared" si="558"/>
        <v>2.6684730134818855</v>
      </c>
      <c r="H161" s="182">
        <f t="shared" si="558"/>
        <v>3.113846014455139</v>
      </c>
      <c r="I161" s="182">
        <f t="shared" ref="I161:J161" si="559">+I108/I55</f>
        <v>3.4499953781544099</v>
      </c>
      <c r="J161" s="183">
        <f t="shared" si="559"/>
        <v>3.43513077601449</v>
      </c>
      <c r="K161" s="183"/>
      <c r="L161" s="137"/>
      <c r="M161" s="3"/>
      <c r="N161" s="134" t="s">
        <v>14</v>
      </c>
      <c r="O161" s="182">
        <f t="shared" ref="O161" si="560">+AVERAGE(O149:O160)</f>
        <v>3.1449407003639309</v>
      </c>
      <c r="P161" s="182">
        <f>+AVERAGE(P149:P160)</f>
        <v>3.4117591221427035</v>
      </c>
      <c r="Q161" s="182">
        <f t="shared" ref="Q161:V161" si="561">+AVERAGE(Q149:Q160)</f>
        <v>3.4560538433615915</v>
      </c>
      <c r="R161" s="182">
        <f t="shared" si="561"/>
        <v>2.7354565237991575</v>
      </c>
      <c r="S161" s="182">
        <f t="shared" si="561"/>
        <v>2.0918086718652691</v>
      </c>
      <c r="T161" s="182">
        <f t="shared" si="561"/>
        <v>2.4041176057002542</v>
      </c>
      <c r="U161" s="182">
        <f t="shared" si="561"/>
        <v>2.910480058262916</v>
      </c>
      <c r="V161" s="182">
        <f t="shared" si="561"/>
        <v>3.3064995419422112</v>
      </c>
      <c r="W161" s="183">
        <f t="shared" ref="W161:X161" si="562">+AVERAGE(W149:W160)</f>
        <v>3.4637798536305424</v>
      </c>
      <c r="X161" s="183">
        <f t="shared" si="562"/>
        <v>3.4516883981782902</v>
      </c>
      <c r="Y161" s="149">
        <f>+X161/W161-1</f>
        <v>-3.4908267739875987E-3</v>
      </c>
      <c r="Z161" s="156">
        <f>+POWER(X161/S161,0.2)-1</f>
        <v>0.10535536817520219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63">+D161/C161-1</f>
        <v>-0.17765697703305927</v>
      </c>
      <c r="E162" s="151">
        <f t="shared" ref="E162" si="564">+E161/D161-1</f>
        <v>-0.14234506951710868</v>
      </c>
      <c r="F162" s="200">
        <f t="shared" ref="F162" si="565">+F161/E161-1</f>
        <v>-0.21645633547348897</v>
      </c>
      <c r="G162" s="200">
        <f t="shared" ref="G162:J162" si="566">+G160/F160-1</f>
        <v>0.14289909815416157</v>
      </c>
      <c r="H162" s="151">
        <f t="shared" si="566"/>
        <v>0.20954342155503225</v>
      </c>
      <c r="I162" s="151">
        <f t="shared" si="566"/>
        <v>2.6047206813703427E-2</v>
      </c>
      <c r="J162" s="152">
        <f t="shared" si="566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567">+Q161/P161-1</f>
        <v>1.2982956777754406E-2</v>
      </c>
      <c r="R162" s="151">
        <f t="shared" ref="R162" si="568">+R161/Q161-1</f>
        <v>-0.20850292044684471</v>
      </c>
      <c r="S162" s="200">
        <f t="shared" ref="S162" si="569">+S161/R161-1</f>
        <v>-0.23529814725037324</v>
      </c>
      <c r="T162" s="200">
        <f t="shared" ref="T162" si="570">+T161/S161-1</f>
        <v>0.14930090788680905</v>
      </c>
      <c r="U162" s="200">
        <f t="shared" ref="U162:X162" si="571">+U161/T161-1</f>
        <v>0.21062299588092404</v>
      </c>
      <c r="V162" s="151">
        <f t="shared" si="571"/>
        <v>0.13606672292943123</v>
      </c>
      <c r="W162" s="152">
        <f t="shared" si="571"/>
        <v>4.7567014509835914E-2</v>
      </c>
      <c r="X162" s="152">
        <f t="shared" si="571"/>
        <v>-3.4908267739875987E-3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48" t="str">
        <f>+A5</f>
        <v>EXPORTACION FRACCIONADO - Millones de litros</v>
      </c>
      <c r="B166" s="349"/>
      <c r="C166" s="349"/>
      <c r="D166" s="349"/>
      <c r="E166" s="349"/>
      <c r="F166" s="349"/>
      <c r="G166" s="349"/>
      <c r="H166" s="349"/>
      <c r="I166" s="349"/>
      <c r="J166" s="349"/>
      <c r="K166" s="35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572">+C167+1</f>
        <v>2018</v>
      </c>
      <c r="E167" s="260">
        <f t="shared" si="572"/>
        <v>2019</v>
      </c>
      <c r="F167" s="260">
        <f t="shared" si="572"/>
        <v>2020</v>
      </c>
      <c r="G167" s="260">
        <f t="shared" si="572"/>
        <v>2021</v>
      </c>
      <c r="H167" s="260">
        <f t="shared" si="572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573">+SUM(C7:C9)</f>
        <v>42.017099999999999</v>
      </c>
      <c r="D168" s="6">
        <f t="shared" si="573"/>
        <v>41.215600000000002</v>
      </c>
      <c r="E168" s="6">
        <f t="shared" si="573"/>
        <v>42.709600000000002</v>
      </c>
      <c r="F168" s="6">
        <f t="shared" si="573"/>
        <v>41.441999999999993</v>
      </c>
      <c r="G168" s="6">
        <f t="shared" si="573"/>
        <v>49.521599999999999</v>
      </c>
      <c r="H168" s="6">
        <f t="shared" si="573"/>
        <v>45.385499999999993</v>
      </c>
      <c r="I168" s="6">
        <f t="shared" si="573"/>
        <v>38.888500000000001</v>
      </c>
      <c r="J168" s="67">
        <f t="shared" si="573"/>
        <v>31.729300000000002</v>
      </c>
      <c r="K168" s="265">
        <f t="shared" si="573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574">+SUM(C10:C12)</f>
        <v>50.059699999999999</v>
      </c>
      <c r="D169" s="6">
        <f t="shared" si="574"/>
        <v>45.411000000000001</v>
      </c>
      <c r="E169" s="6">
        <f t="shared" si="574"/>
        <v>49.6</v>
      </c>
      <c r="F169" s="6">
        <f t="shared" si="574"/>
        <v>52.9559</v>
      </c>
      <c r="G169" s="6">
        <f t="shared" si="574"/>
        <v>57.628999999999991</v>
      </c>
      <c r="H169" s="6">
        <f t="shared" si="574"/>
        <v>55.238299999999995</v>
      </c>
      <c r="I169" s="6">
        <f t="shared" si="574"/>
        <v>35.929199999999994</v>
      </c>
      <c r="J169" s="67">
        <f t="shared" si="574"/>
        <v>39.280699999999996</v>
      </c>
      <c r="K169" s="265">
        <f t="shared" si="574"/>
        <v>38.721299999999999</v>
      </c>
    </row>
    <row r="170" spans="1:26" x14ac:dyDescent="0.25">
      <c r="A170" s="264" t="s">
        <v>301</v>
      </c>
      <c r="B170" s="193"/>
      <c r="C170" s="6"/>
      <c r="D170" s="6"/>
      <c r="E170" s="6"/>
      <c r="F170" s="6"/>
      <c r="G170" s="6"/>
      <c r="H170" s="6"/>
      <c r="I170" s="6"/>
      <c r="J170" s="67"/>
      <c r="K170" s="265"/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575">SUM(B168:B171)</f>
        <v>98.252717000000004</v>
      </c>
      <c r="C172" s="54">
        <f t="shared" si="575"/>
        <v>92.076799999999992</v>
      </c>
      <c r="D172" s="54">
        <f t="shared" si="575"/>
        <v>86.626599999999996</v>
      </c>
      <c r="E172" s="54">
        <f t="shared" si="575"/>
        <v>92.309600000000003</v>
      </c>
      <c r="F172" s="54">
        <f t="shared" si="575"/>
        <v>94.397899999999993</v>
      </c>
      <c r="G172" s="54">
        <f t="shared" si="575"/>
        <v>107.1506</v>
      </c>
      <c r="H172" s="54">
        <f t="shared" si="575"/>
        <v>100.62379999999999</v>
      </c>
      <c r="I172" s="54">
        <f t="shared" si="575"/>
        <v>74.817700000000002</v>
      </c>
      <c r="J172" s="186">
        <f t="shared" si="575"/>
        <v>71.009999999999991</v>
      </c>
      <c r="K172" s="267">
        <f t="shared" si="575"/>
        <v>69.689899999999994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576">+D168/C168-1</f>
        <v>-1.9075566852543302E-2</v>
      </c>
      <c r="E173" s="257">
        <f t="shared" si="576"/>
        <v>3.6248410795912234E-2</v>
      </c>
      <c r="F173" s="257">
        <f t="shared" si="576"/>
        <v>-2.9679509993069675E-2</v>
      </c>
      <c r="G173" s="257">
        <f t="shared" si="576"/>
        <v>0.1949616331258146</v>
      </c>
      <c r="H173" s="257">
        <f t="shared" si="576"/>
        <v>-8.3521130173500158E-2</v>
      </c>
      <c r="I173" s="257">
        <f t="shared" si="576"/>
        <v>-0.14315144704806593</v>
      </c>
      <c r="J173" s="258">
        <f t="shared" si="576"/>
        <v>-0.18409555524126664</v>
      </c>
      <c r="K173" s="269">
        <f t="shared" si="576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577">+D169/C169-1</f>
        <v>-9.2863121433008899E-2</v>
      </c>
      <c r="E174" s="257">
        <f t="shared" ref="E174" si="578">+E169/D169-1</f>
        <v>9.2246372024399337E-2</v>
      </c>
      <c r="F174" s="257">
        <f t="shared" ref="F174" si="579">+F169/E169-1</f>
        <v>6.7659274193548447E-2</v>
      </c>
      <c r="G174" s="257">
        <f t="shared" ref="G174" si="580">+G169/F169-1</f>
        <v>8.8245124716981316E-2</v>
      </c>
      <c r="H174" s="257">
        <f t="shared" ref="H174" si="581">+H169/G169-1</f>
        <v>-4.1484322129483386E-2</v>
      </c>
      <c r="I174" s="257">
        <f t="shared" ref="I174" si="582">+I169/H169-1</f>
        <v>-0.34955999732069964</v>
      </c>
      <c r="J174" s="258">
        <f t="shared" ref="J174" si="583">+J169/I169-1</f>
        <v>9.3280674214844872E-2</v>
      </c>
      <c r="K174" s="269">
        <f t="shared" ref="K174" si="584">+K169/J169-1</f>
        <v>-1.4241090408266599E-2</v>
      </c>
    </row>
    <row r="175" spans="1:26" x14ac:dyDescent="0.25">
      <c r="A175" s="268" t="s">
        <v>305</v>
      </c>
      <c r="B175" s="256"/>
      <c r="C175" s="257"/>
      <c r="D175" s="257"/>
      <c r="E175" s="257"/>
      <c r="F175" s="257"/>
      <c r="G175" s="257"/>
      <c r="H175" s="257"/>
      <c r="I175" s="257"/>
      <c r="J175" s="258"/>
      <c r="K175" s="269"/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48" t="str">
        <f>+A23</f>
        <v>EXPORTACION GRANEL - Millones de litros</v>
      </c>
      <c r="B181" s="349"/>
      <c r="C181" s="349"/>
      <c r="D181" s="349"/>
      <c r="E181" s="349"/>
      <c r="F181" s="349"/>
      <c r="G181" s="349"/>
      <c r="H181" s="349"/>
      <c r="I181" s="349"/>
      <c r="J181" s="349"/>
      <c r="K181" s="35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585">+C182+1</f>
        <v>2018</v>
      </c>
      <c r="E182" s="260">
        <f t="shared" ref="E182" si="586">+D182+1</f>
        <v>2019</v>
      </c>
      <c r="F182" s="260">
        <f t="shared" ref="F182" si="587">+E182+1</f>
        <v>2020</v>
      </c>
      <c r="G182" s="260">
        <f t="shared" ref="G182" si="588">+F182+1</f>
        <v>2021</v>
      </c>
      <c r="H182" s="260">
        <f t="shared" ref="H182" si="589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590">+SUM(C25:C27)</f>
        <v>9.5046999999999997</v>
      </c>
      <c r="D183" s="6">
        <f t="shared" si="590"/>
        <v>7.4640000000000004</v>
      </c>
      <c r="E183" s="6">
        <f t="shared" si="590"/>
        <v>26.357700000000001</v>
      </c>
      <c r="F183" s="6">
        <f t="shared" si="590"/>
        <v>73.334099999999992</v>
      </c>
      <c r="G183" s="6">
        <f t="shared" si="590"/>
        <v>30.086500000000001</v>
      </c>
      <c r="H183" s="6">
        <f t="shared" si="590"/>
        <v>19.555299999999999</v>
      </c>
      <c r="I183" s="6">
        <f t="shared" si="590"/>
        <v>13.521699999999999</v>
      </c>
      <c r="J183" s="67">
        <f t="shared" si="590"/>
        <v>11.0456</v>
      </c>
      <c r="K183" s="265">
        <f t="shared" si="590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591">+SUM(C28:C30)</f>
        <v>6.0873999999999997</v>
      </c>
      <c r="D184" s="6">
        <f t="shared" si="591"/>
        <v>10.1119</v>
      </c>
      <c r="E184" s="6">
        <f t="shared" si="591"/>
        <v>17.947500000000002</v>
      </c>
      <c r="F184" s="6">
        <f t="shared" si="591"/>
        <v>38.896900000000002</v>
      </c>
      <c r="G184" s="6">
        <f t="shared" si="591"/>
        <v>36.503100000000003</v>
      </c>
      <c r="H184" s="6">
        <f t="shared" si="591"/>
        <v>19.931699999999999</v>
      </c>
      <c r="I184" s="6">
        <f t="shared" si="591"/>
        <v>10.3735</v>
      </c>
      <c r="J184" s="67">
        <f t="shared" si="591"/>
        <v>10.5824</v>
      </c>
      <c r="K184" s="265">
        <f t="shared" si="591"/>
        <v>10.593500000000001</v>
      </c>
    </row>
    <row r="185" spans="1:11" x14ac:dyDescent="0.25">
      <c r="A185" s="264" t="s">
        <v>301</v>
      </c>
      <c r="B185" s="193"/>
      <c r="C185" s="6"/>
      <c r="D185" s="6"/>
      <c r="E185" s="6"/>
      <c r="F185" s="6"/>
      <c r="G185" s="6"/>
      <c r="H185" s="6"/>
      <c r="I185" s="6"/>
      <c r="J185" s="67"/>
      <c r="K185" s="265"/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592">SUM(B183:B186)</f>
        <v>28.261675999999998</v>
      </c>
      <c r="C187" s="54">
        <f t="shared" si="592"/>
        <v>15.592099999999999</v>
      </c>
      <c r="D187" s="54">
        <f t="shared" si="592"/>
        <v>17.575900000000001</v>
      </c>
      <c r="E187" s="54">
        <f t="shared" si="592"/>
        <v>44.305199999999999</v>
      </c>
      <c r="F187" s="54">
        <f t="shared" si="592"/>
        <v>112.23099999999999</v>
      </c>
      <c r="G187" s="54">
        <f t="shared" si="592"/>
        <v>66.589600000000004</v>
      </c>
      <c r="H187" s="54">
        <f t="shared" si="592"/>
        <v>39.486999999999995</v>
      </c>
      <c r="I187" s="54">
        <f t="shared" si="592"/>
        <v>23.895199999999999</v>
      </c>
      <c r="J187" s="186">
        <f t="shared" si="592"/>
        <v>21.628</v>
      </c>
      <c r="K187" s="267">
        <f t="shared" si="592"/>
        <v>21.1126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593">+D183/C183-1</f>
        <v>-0.21470430418634989</v>
      </c>
      <c r="E188" s="257">
        <f t="shared" si="593"/>
        <v>2.5313102893890673</v>
      </c>
      <c r="F188" s="257">
        <f t="shared" si="593"/>
        <v>1.7822647651350456</v>
      </c>
      <c r="G188" s="257">
        <f t="shared" si="593"/>
        <v>-0.58973383460082007</v>
      </c>
      <c r="H188" s="257">
        <f t="shared" si="593"/>
        <v>-0.35003074468615503</v>
      </c>
      <c r="I188" s="257">
        <f t="shared" si="593"/>
        <v>-0.3085403956983529</v>
      </c>
      <c r="J188" s="258">
        <f t="shared" si="593"/>
        <v>-0.18312046562192619</v>
      </c>
      <c r="K188" s="269">
        <f t="shared" si="593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594">+D184/C184-1</f>
        <v>0.6611196898511682</v>
      </c>
      <c r="E189" s="257">
        <f t="shared" ref="E189" si="595">+E184/D184-1</f>
        <v>0.77488899217753349</v>
      </c>
      <c r="F189" s="257">
        <f t="shared" ref="F189" si="596">+F184/E184-1</f>
        <v>1.1672600640757764</v>
      </c>
      <c r="G189" s="257">
        <f t="shared" ref="G189" si="597">+G184/F184-1</f>
        <v>-6.1542179453889623E-2</v>
      </c>
      <c r="H189" s="257">
        <f t="shared" ref="H189" si="598">+H184/G184-1</f>
        <v>-0.45397240234391056</v>
      </c>
      <c r="I189" s="257">
        <f t="shared" ref="I189" si="599">+I184/H184-1</f>
        <v>-0.47954765524265364</v>
      </c>
      <c r="J189" s="258">
        <f t="shared" ref="J189" si="600">+J184/I184-1</f>
        <v>2.013785125560319E-2</v>
      </c>
      <c r="K189" s="269">
        <f t="shared" ref="K189" si="601">+K184/J184-1</f>
        <v>1.0489114000604705E-3</v>
      </c>
    </row>
    <row r="190" spans="1:11" x14ac:dyDescent="0.25">
      <c r="A190" s="268" t="s">
        <v>305</v>
      </c>
      <c r="B190" s="256"/>
      <c r="C190" s="257"/>
      <c r="D190" s="257"/>
      <c r="E190" s="257"/>
      <c r="F190" s="257"/>
      <c r="G190" s="257"/>
      <c r="H190" s="257"/>
      <c r="I190" s="257"/>
      <c r="J190" s="258"/>
      <c r="K190" s="269"/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602">+C197+1</f>
        <v>2018</v>
      </c>
      <c r="E197" s="260">
        <f t="shared" ref="E197" si="603">+D197+1</f>
        <v>2019</v>
      </c>
      <c r="F197" s="260">
        <f t="shared" ref="F197" si="604">+E197+1</f>
        <v>2020</v>
      </c>
      <c r="G197" s="260">
        <f t="shared" ref="G197" si="605">+F197+1</f>
        <v>2021</v>
      </c>
      <c r="H197" s="260">
        <f t="shared" ref="H197" si="606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607">+SUM(C43:C45)</f>
        <v>51.521799999999999</v>
      </c>
      <c r="D198" s="6">
        <f t="shared" si="607"/>
        <v>48.679600000000001</v>
      </c>
      <c r="E198" s="6">
        <f t="shared" si="607"/>
        <v>69.067300000000003</v>
      </c>
      <c r="F198" s="6">
        <f t="shared" si="607"/>
        <v>114.7761</v>
      </c>
      <c r="G198" s="6">
        <f t="shared" si="607"/>
        <v>79.608099999999993</v>
      </c>
      <c r="H198" s="6">
        <f t="shared" si="607"/>
        <v>64.940799999999996</v>
      </c>
      <c r="I198" s="6">
        <f t="shared" si="607"/>
        <v>52.410200000000003</v>
      </c>
      <c r="J198" s="67">
        <f t="shared" si="607"/>
        <v>42.774899999999995</v>
      </c>
      <c r="K198" s="265">
        <f t="shared" si="607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608">+SUM(C46:C48)</f>
        <v>56.147100000000002</v>
      </c>
      <c r="D199" s="6">
        <f t="shared" si="608"/>
        <v>55.5229</v>
      </c>
      <c r="E199" s="6">
        <f t="shared" si="608"/>
        <v>67.547499999999999</v>
      </c>
      <c r="F199" s="6">
        <f t="shared" si="608"/>
        <v>91.852800000000002</v>
      </c>
      <c r="G199" s="6">
        <f t="shared" si="608"/>
        <v>94.132100000000008</v>
      </c>
      <c r="H199" s="6">
        <f t="shared" si="608"/>
        <v>75.17</v>
      </c>
      <c r="I199" s="6">
        <f t="shared" si="608"/>
        <v>46.302700000000002</v>
      </c>
      <c r="J199" s="67">
        <f t="shared" si="608"/>
        <v>49.863100000000003</v>
      </c>
      <c r="K199" s="265">
        <f t="shared" si="608"/>
        <v>49.314799999999998</v>
      </c>
    </row>
    <row r="200" spans="1:11" x14ac:dyDescent="0.25">
      <c r="A200" s="264" t="s">
        <v>301</v>
      </c>
      <c r="B200" s="193"/>
      <c r="C200" s="6"/>
      <c r="D200" s="6"/>
      <c r="E200" s="6"/>
      <c r="F200" s="6"/>
      <c r="G200" s="6"/>
      <c r="H200" s="6"/>
      <c r="I200" s="6"/>
      <c r="J200" s="67"/>
      <c r="K200" s="265"/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609">SUM(B198:B201)</f>
        <v>126.51439299999998</v>
      </c>
      <c r="C202" s="54">
        <f t="shared" si="609"/>
        <v>107.66890000000001</v>
      </c>
      <c r="D202" s="54">
        <f t="shared" si="609"/>
        <v>104.2025</v>
      </c>
      <c r="E202" s="54">
        <f t="shared" si="609"/>
        <v>136.6148</v>
      </c>
      <c r="F202" s="54">
        <f t="shared" si="609"/>
        <v>206.62889999999999</v>
      </c>
      <c r="G202" s="54">
        <f t="shared" si="609"/>
        <v>173.74020000000002</v>
      </c>
      <c r="H202" s="54">
        <f t="shared" si="609"/>
        <v>140.11079999999998</v>
      </c>
      <c r="I202" s="54">
        <f t="shared" si="609"/>
        <v>98.712900000000005</v>
      </c>
      <c r="J202" s="186">
        <f t="shared" si="609"/>
        <v>92.638000000000005</v>
      </c>
      <c r="K202" s="267">
        <f t="shared" si="609"/>
        <v>90.802499999999995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610">+D198/C198-1</f>
        <v>-5.51649981173018E-2</v>
      </c>
      <c r="E203" s="257">
        <f t="shared" si="610"/>
        <v>0.41881404120000987</v>
      </c>
      <c r="F203" s="257">
        <f t="shared" si="610"/>
        <v>0.66180088116952596</v>
      </c>
      <c r="G203" s="257">
        <f t="shared" si="610"/>
        <v>-0.30640525335849544</v>
      </c>
      <c r="H203" s="257">
        <f t="shared" si="610"/>
        <v>-0.18424381438572202</v>
      </c>
      <c r="I203" s="257">
        <f t="shared" si="610"/>
        <v>-0.19295419828520732</v>
      </c>
      <c r="J203" s="258">
        <f t="shared" si="610"/>
        <v>-0.18384398456788964</v>
      </c>
      <c r="K203" s="269">
        <f t="shared" si="610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611">+D199/C199-1</f>
        <v>-1.1117226000986746E-2</v>
      </c>
      <c r="E204" s="257">
        <f t="shared" ref="E204" si="612">+E199/D199-1</f>
        <v>0.21657009990472398</v>
      </c>
      <c r="F204" s="257">
        <f t="shared" ref="F204" si="613">+F199/E199-1</f>
        <v>0.35982530811651059</v>
      </c>
      <c r="G204" s="257">
        <f t="shared" ref="G204" si="614">+G199/F199-1</f>
        <v>2.4814703525641191E-2</v>
      </c>
      <c r="H204" s="257">
        <f t="shared" ref="H204" si="615">+H199/G199-1</f>
        <v>-0.20144137865828982</v>
      </c>
      <c r="I204" s="257">
        <f t="shared" ref="I204" si="616">+I199/H199-1</f>
        <v>-0.38402687242250899</v>
      </c>
      <c r="J204" s="258">
        <f t="shared" ref="J204" si="617">+J199/I199-1</f>
        <v>7.6894004021363704E-2</v>
      </c>
      <c r="K204" s="269">
        <f t="shared" ref="K204" si="618">+K199/J199-1</f>
        <v>-1.0996107341902261E-2</v>
      </c>
    </row>
    <row r="205" spans="1:11" x14ac:dyDescent="0.25">
      <c r="A205" s="268" t="s">
        <v>305</v>
      </c>
      <c r="B205" s="256"/>
      <c r="C205" s="257"/>
      <c r="D205" s="257"/>
      <c r="E205" s="257"/>
      <c r="F205" s="257"/>
      <c r="G205" s="257"/>
      <c r="H205" s="257"/>
      <c r="I205" s="257"/>
      <c r="J205" s="258"/>
      <c r="K205" s="269"/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48" t="str">
        <f>+A58</f>
        <v>EXPORTACION FRACCIONADO - Millones de dólares</v>
      </c>
      <c r="B211" s="349"/>
      <c r="C211" s="349"/>
      <c r="D211" s="349"/>
      <c r="E211" s="349"/>
      <c r="F211" s="349"/>
      <c r="G211" s="349"/>
      <c r="H211" s="349"/>
      <c r="I211" s="349"/>
      <c r="J211" s="349"/>
      <c r="K211" s="35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619">+C212+1</f>
        <v>2018</v>
      </c>
      <c r="E212" s="281">
        <f t="shared" ref="E212" si="620">+D212+1</f>
        <v>2019</v>
      </c>
      <c r="F212" s="281">
        <f t="shared" ref="F212" si="621">+E212+1</f>
        <v>2020</v>
      </c>
      <c r="G212" s="281">
        <f t="shared" ref="G212" si="622">+F212+1</f>
        <v>2021</v>
      </c>
      <c r="H212" s="281">
        <f t="shared" ref="H212" si="623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624">+SUM(C60:C62)</f>
        <v>163.58800000000002</v>
      </c>
      <c r="D213" s="6">
        <f t="shared" si="624"/>
        <v>167.55</v>
      </c>
      <c r="E213" s="6">
        <f t="shared" si="624"/>
        <v>166.321</v>
      </c>
      <c r="F213" s="6">
        <f t="shared" si="624"/>
        <v>154.59</v>
      </c>
      <c r="G213" s="6">
        <f t="shared" si="624"/>
        <v>179.523</v>
      </c>
      <c r="H213" s="6">
        <f t="shared" si="624"/>
        <v>170.887</v>
      </c>
      <c r="I213" s="6">
        <f t="shared" si="624"/>
        <v>156.642</v>
      </c>
      <c r="J213" s="67">
        <f t="shared" si="624"/>
        <v>133.01900000000001</v>
      </c>
      <c r="K213" s="265">
        <f t="shared" si="624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625">+SUM(C63:C65)</f>
        <v>194.327</v>
      </c>
      <c r="D214" s="6">
        <f t="shared" si="625"/>
        <v>184.471</v>
      </c>
      <c r="E214" s="6">
        <f t="shared" si="625"/>
        <v>188.74700000000001</v>
      </c>
      <c r="F214" s="6">
        <f t="shared" si="625"/>
        <v>168.76499999999999</v>
      </c>
      <c r="G214" s="6">
        <f t="shared" si="625"/>
        <v>211.87199999999999</v>
      </c>
      <c r="H214" s="6">
        <f t="shared" si="625"/>
        <v>217.70699999999999</v>
      </c>
      <c r="I214" s="6">
        <f t="shared" si="625"/>
        <v>156.238</v>
      </c>
      <c r="J214" s="67">
        <f t="shared" si="625"/>
        <v>164.155</v>
      </c>
      <c r="K214" s="265">
        <f t="shared" si="625"/>
        <v>161.809</v>
      </c>
    </row>
    <row r="215" spans="1:11" x14ac:dyDescent="0.25">
      <c r="A215" s="264" t="s">
        <v>301</v>
      </c>
      <c r="B215" s="193"/>
      <c r="C215" s="6"/>
      <c r="D215" s="6"/>
      <c r="E215" s="6"/>
      <c r="F215" s="6"/>
      <c r="G215" s="6"/>
      <c r="H215" s="6"/>
      <c r="I215" s="6"/>
      <c r="J215" s="67"/>
      <c r="K215" s="265"/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626">SUM(B213:B216)</f>
        <v>361.56101999999998</v>
      </c>
      <c r="C217" s="286">
        <f t="shared" si="626"/>
        <v>357.91500000000002</v>
      </c>
      <c r="D217" s="286">
        <f t="shared" si="626"/>
        <v>352.02100000000002</v>
      </c>
      <c r="E217" s="286">
        <f t="shared" si="626"/>
        <v>355.06799999999998</v>
      </c>
      <c r="F217" s="286">
        <f t="shared" si="626"/>
        <v>323.35500000000002</v>
      </c>
      <c r="G217" s="286">
        <f t="shared" si="626"/>
        <v>391.39499999999998</v>
      </c>
      <c r="H217" s="286">
        <f t="shared" si="626"/>
        <v>388.59399999999999</v>
      </c>
      <c r="I217" s="286">
        <f t="shared" si="626"/>
        <v>312.88</v>
      </c>
      <c r="J217" s="287">
        <f t="shared" si="626"/>
        <v>297.17399999999998</v>
      </c>
      <c r="K217" s="288">
        <f t="shared" si="626"/>
        <v>294.11099999999999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627">+D213/C213-1</f>
        <v>2.4219380394649992E-2</v>
      </c>
      <c r="E218" s="257">
        <f t="shared" si="627"/>
        <v>-7.3351238436288879E-3</v>
      </c>
      <c r="F218" s="257">
        <f t="shared" si="627"/>
        <v>-7.0532283956926678E-2</v>
      </c>
      <c r="G218" s="257">
        <f t="shared" si="627"/>
        <v>0.1612846885309529</v>
      </c>
      <c r="H218" s="257">
        <f t="shared" si="627"/>
        <v>-4.81052567080541E-2</v>
      </c>
      <c r="I218" s="257">
        <f t="shared" si="627"/>
        <v>-8.3359178872588369E-2</v>
      </c>
      <c r="J218" s="258">
        <f t="shared" si="627"/>
        <v>-0.15080885075522521</v>
      </c>
      <c r="K218" s="269">
        <f t="shared" si="627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628">+D214/C214-1</f>
        <v>-5.0718634054969125E-2</v>
      </c>
      <c r="E219" s="257">
        <f t="shared" ref="E219" si="629">+E214/D214-1</f>
        <v>2.3179795198161379E-2</v>
      </c>
      <c r="F219" s="257">
        <f t="shared" ref="F219" si="630">+F214/E214-1</f>
        <v>-0.10586658330993359</v>
      </c>
      <c r="G219" s="257">
        <f t="shared" ref="G219" si="631">+G214/F214-1</f>
        <v>0.25542618433916986</v>
      </c>
      <c r="H219" s="257">
        <f t="shared" ref="H219" si="632">+H214/G214-1</f>
        <v>2.7540212958767629E-2</v>
      </c>
      <c r="I219" s="257">
        <f t="shared" ref="I219" si="633">+I214/H214-1</f>
        <v>-0.28234737514181907</v>
      </c>
      <c r="J219" s="258">
        <f t="shared" ref="J219" si="634">+J214/I214-1</f>
        <v>5.0672691662719815E-2</v>
      </c>
      <c r="K219" s="269">
        <f t="shared" ref="K219" si="635">+K214/J214-1</f>
        <v>-1.4291370960372807E-2</v>
      </c>
    </row>
    <row r="220" spans="1:11" x14ac:dyDescent="0.25">
      <c r="A220" s="268" t="s">
        <v>305</v>
      </c>
      <c r="B220" s="256"/>
      <c r="C220" s="257"/>
      <c r="D220" s="257"/>
      <c r="E220" s="257"/>
      <c r="F220" s="257"/>
      <c r="G220" s="257"/>
      <c r="H220" s="257"/>
      <c r="I220" s="257"/>
      <c r="J220" s="258"/>
      <c r="K220" s="269"/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48" t="str">
        <f>+A76</f>
        <v>EXPORTACION GRANEL - Millones de dólares</v>
      </c>
      <c r="B226" s="349"/>
      <c r="C226" s="349"/>
      <c r="D226" s="349"/>
      <c r="E226" s="349"/>
      <c r="F226" s="349"/>
      <c r="G226" s="349"/>
      <c r="H226" s="349"/>
      <c r="I226" s="349"/>
      <c r="J226" s="349"/>
      <c r="K226" s="35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636">+C227+1</f>
        <v>2018</v>
      </c>
      <c r="E227" s="281">
        <f t="shared" ref="E227" si="637">+D227+1</f>
        <v>2019</v>
      </c>
      <c r="F227" s="281">
        <f t="shared" ref="F227" si="638">+E227+1</f>
        <v>2020</v>
      </c>
      <c r="G227" s="281">
        <f t="shared" ref="G227" si="639">+F227+1</f>
        <v>2021</v>
      </c>
      <c r="H227" s="281">
        <f t="shared" ref="H227" si="640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641">+SUM(C78:C80)</f>
        <v>13.498000000000001</v>
      </c>
      <c r="D228" s="6">
        <f t="shared" si="641"/>
        <v>11.989000000000001</v>
      </c>
      <c r="E228" s="6">
        <f t="shared" si="641"/>
        <v>17.666</v>
      </c>
      <c r="F228" s="6">
        <f t="shared" si="641"/>
        <v>24.908999999999999</v>
      </c>
      <c r="G228" s="6">
        <f t="shared" si="641"/>
        <v>19.210999999999999</v>
      </c>
      <c r="H228" s="6">
        <f t="shared" si="641"/>
        <v>16.401</v>
      </c>
      <c r="I228" s="6">
        <f t="shared" si="641"/>
        <v>13.319000000000001</v>
      </c>
      <c r="J228" s="67">
        <f t="shared" si="641"/>
        <v>11.321999999999999</v>
      </c>
      <c r="K228" s="265">
        <f t="shared" si="641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642">+SUM(C81:C83)</f>
        <v>8.8849999999999998</v>
      </c>
      <c r="D229" s="6">
        <f t="shared" si="642"/>
        <v>11.936</v>
      </c>
      <c r="E229" s="6">
        <f t="shared" si="642"/>
        <v>12.562000000000001</v>
      </c>
      <c r="F229" s="6">
        <f t="shared" si="642"/>
        <v>18.555</v>
      </c>
      <c r="G229" s="6">
        <f t="shared" si="642"/>
        <v>22.978000000000002</v>
      </c>
      <c r="H229" s="6">
        <f t="shared" si="642"/>
        <v>16.087</v>
      </c>
      <c r="I229" s="6">
        <f t="shared" si="642"/>
        <v>10.434999999999999</v>
      </c>
      <c r="J229" s="67">
        <f t="shared" si="642"/>
        <v>10.481000000000002</v>
      </c>
      <c r="K229" s="265">
        <f t="shared" si="642"/>
        <v>10.543000000000001</v>
      </c>
    </row>
    <row r="230" spans="1:11" x14ac:dyDescent="0.25">
      <c r="A230" s="264" t="s">
        <v>301</v>
      </c>
      <c r="B230" s="193"/>
      <c r="C230" s="6"/>
      <c r="D230" s="6"/>
      <c r="E230" s="6"/>
      <c r="F230" s="6"/>
      <c r="G230" s="6"/>
      <c r="H230" s="6"/>
      <c r="I230" s="6"/>
      <c r="J230" s="67"/>
      <c r="K230" s="265"/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643">SUM(B228:B231)</f>
        <v>27.449260000000002</v>
      </c>
      <c r="C232" s="286">
        <f t="shared" si="643"/>
        <v>22.383000000000003</v>
      </c>
      <c r="D232" s="286">
        <f t="shared" si="643"/>
        <v>23.925000000000001</v>
      </c>
      <c r="E232" s="286">
        <f t="shared" si="643"/>
        <v>30.228000000000002</v>
      </c>
      <c r="F232" s="286">
        <f t="shared" si="643"/>
        <v>43.463999999999999</v>
      </c>
      <c r="G232" s="286">
        <f t="shared" si="643"/>
        <v>42.189</v>
      </c>
      <c r="H232" s="286">
        <f t="shared" si="643"/>
        <v>32.488</v>
      </c>
      <c r="I232" s="286">
        <f t="shared" si="643"/>
        <v>23.753999999999998</v>
      </c>
      <c r="J232" s="287">
        <f t="shared" si="643"/>
        <v>21.803000000000001</v>
      </c>
      <c r="K232" s="288">
        <f t="shared" si="643"/>
        <v>21.015999999999998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644">+D228/C228-1</f>
        <v>-0.11179433990220777</v>
      </c>
      <c r="E233" s="257">
        <f t="shared" si="644"/>
        <v>0.47351739094169654</v>
      </c>
      <c r="F233" s="257">
        <f t="shared" si="644"/>
        <v>0.40999660364542057</v>
      </c>
      <c r="G233" s="257">
        <f t="shared" si="644"/>
        <v>-0.2287526596812397</v>
      </c>
      <c r="H233" s="257">
        <f t="shared" si="644"/>
        <v>-0.14627036593618237</v>
      </c>
      <c r="I233" s="257">
        <f t="shared" si="644"/>
        <v>-0.1879153710139625</v>
      </c>
      <c r="J233" s="258">
        <f t="shared" si="644"/>
        <v>-0.14993618139499976</v>
      </c>
      <c r="K233" s="269">
        <f t="shared" si="644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645">+D229/C229-1</f>
        <v>0.34338773213280804</v>
      </c>
      <c r="E234" s="257">
        <f t="shared" ref="E234" si="646">+E229/D229-1</f>
        <v>5.2446380697050987E-2</v>
      </c>
      <c r="F234" s="257">
        <f t="shared" ref="F234" si="647">+F229/E229-1</f>
        <v>0.47707371437669144</v>
      </c>
      <c r="G234" s="257">
        <f t="shared" ref="G234" si="648">+G229/F229-1</f>
        <v>0.23837240635947188</v>
      </c>
      <c r="H234" s="257">
        <f t="shared" ref="H234" si="649">+H229/G229-1</f>
        <v>-0.29989555226738629</v>
      </c>
      <c r="I234" s="257">
        <f t="shared" ref="I234" si="650">+I229/H229-1</f>
        <v>-0.35133959097407852</v>
      </c>
      <c r="J234" s="258">
        <f t="shared" ref="J234" si="651">+J229/I229-1</f>
        <v>4.4082414949691007E-3</v>
      </c>
      <c r="K234" s="269">
        <f t="shared" ref="K234" si="652">+K229/J229-1</f>
        <v>5.9154660814806359E-3</v>
      </c>
    </row>
    <row r="235" spans="1:11" x14ac:dyDescent="0.25">
      <c r="A235" s="268" t="s">
        <v>305</v>
      </c>
      <c r="B235" s="256"/>
      <c r="C235" s="257"/>
      <c r="D235" s="257"/>
      <c r="E235" s="257"/>
      <c r="F235" s="257"/>
      <c r="G235" s="257"/>
      <c r="H235" s="257"/>
      <c r="I235" s="257"/>
      <c r="J235" s="258"/>
      <c r="K235" s="269"/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67" t="str">
        <f>+A94</f>
        <v>EXPORTACION DE VINO - Millones de dólares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9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653">+C242+1</f>
        <v>2018</v>
      </c>
      <c r="E242" s="281">
        <f t="shared" ref="E242" si="654">+D242+1</f>
        <v>2019</v>
      </c>
      <c r="F242" s="281">
        <f t="shared" ref="F242" si="655">+E242+1</f>
        <v>2020</v>
      </c>
      <c r="G242" s="281">
        <f t="shared" ref="G242" si="656">+F242+1</f>
        <v>2021</v>
      </c>
      <c r="H242" s="281">
        <f t="shared" ref="H242" si="657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658">+SUM(C96:C98)</f>
        <v>177.08600000000001</v>
      </c>
      <c r="D243" s="6">
        <f t="shared" si="658"/>
        <v>179.53899999999999</v>
      </c>
      <c r="E243" s="6">
        <f t="shared" si="658"/>
        <v>183.98700000000002</v>
      </c>
      <c r="F243" s="6">
        <f t="shared" si="658"/>
        <v>179.49900000000002</v>
      </c>
      <c r="G243" s="6">
        <f t="shared" si="658"/>
        <v>198.73400000000001</v>
      </c>
      <c r="H243" s="6">
        <f t="shared" si="658"/>
        <v>187.28800000000001</v>
      </c>
      <c r="I243" s="6">
        <f t="shared" si="658"/>
        <v>169.96099999999998</v>
      </c>
      <c r="J243" s="67">
        <f t="shared" si="658"/>
        <v>144.34100000000001</v>
      </c>
      <c r="K243" s="265">
        <f t="shared" si="658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659">+SUM(C99:C101)</f>
        <v>203.21199999999999</v>
      </c>
      <c r="D244" s="6">
        <f t="shared" si="659"/>
        <v>196.40700000000001</v>
      </c>
      <c r="E244" s="6">
        <f t="shared" si="659"/>
        <v>201.309</v>
      </c>
      <c r="F244" s="6">
        <f t="shared" si="659"/>
        <v>187.32</v>
      </c>
      <c r="G244" s="6">
        <f t="shared" si="659"/>
        <v>234.85000000000002</v>
      </c>
      <c r="H244" s="6">
        <f t="shared" si="659"/>
        <v>233.79399999999998</v>
      </c>
      <c r="I244" s="6">
        <f t="shared" si="659"/>
        <v>166.673</v>
      </c>
      <c r="J244" s="67">
        <f t="shared" si="659"/>
        <v>174.63600000000002</v>
      </c>
      <c r="K244" s="265">
        <f t="shared" si="659"/>
        <v>172.352</v>
      </c>
    </row>
    <row r="245" spans="1:11" x14ac:dyDescent="0.25">
      <c r="A245" s="264" t="s">
        <v>301</v>
      </c>
      <c r="B245" s="193"/>
      <c r="C245" s="6"/>
      <c r="D245" s="6"/>
      <c r="E245" s="6"/>
      <c r="F245" s="6"/>
      <c r="G245" s="6"/>
      <c r="H245" s="6"/>
      <c r="I245" s="6"/>
      <c r="J245" s="67"/>
      <c r="K245" s="265"/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660">SUM(B243:B246)</f>
        <v>389.01027999999997</v>
      </c>
      <c r="C247" s="286">
        <f t="shared" si="660"/>
        <v>380.298</v>
      </c>
      <c r="D247" s="286">
        <f t="shared" si="660"/>
        <v>375.94600000000003</v>
      </c>
      <c r="E247" s="286">
        <f t="shared" si="660"/>
        <v>385.29600000000005</v>
      </c>
      <c r="F247" s="286">
        <f t="shared" si="660"/>
        <v>366.81900000000002</v>
      </c>
      <c r="G247" s="286">
        <f t="shared" si="660"/>
        <v>433.58400000000006</v>
      </c>
      <c r="H247" s="286">
        <f t="shared" si="660"/>
        <v>421.08199999999999</v>
      </c>
      <c r="I247" s="286">
        <f t="shared" si="660"/>
        <v>336.63400000000001</v>
      </c>
      <c r="J247" s="287">
        <f t="shared" si="660"/>
        <v>318.97700000000003</v>
      </c>
      <c r="K247" s="288">
        <f t="shared" si="660"/>
        <v>315.12700000000001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661">+D243/C243-1</f>
        <v>1.3852026698891962E-2</v>
      </c>
      <c r="E248" s="257">
        <f t="shared" si="661"/>
        <v>2.4774561515882532E-2</v>
      </c>
      <c r="F248" s="257">
        <f t="shared" si="661"/>
        <v>-2.439302776826624E-2</v>
      </c>
      <c r="G248" s="257">
        <f t="shared" si="661"/>
        <v>0.1071593713614003</v>
      </c>
      <c r="H248" s="257">
        <f t="shared" si="661"/>
        <v>-5.7594573651212122E-2</v>
      </c>
      <c r="I248" s="257">
        <f t="shared" si="661"/>
        <v>-9.25152705992911E-2</v>
      </c>
      <c r="J248" s="258">
        <f t="shared" si="661"/>
        <v>-0.15074046398879726</v>
      </c>
      <c r="K248" s="269">
        <f t="shared" si="661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662">+D244/C244-1</f>
        <v>-3.3487195638052802E-2</v>
      </c>
      <c r="E249" s="257">
        <f t="shared" ref="E249" si="663">+E244/D244-1</f>
        <v>2.495837724724681E-2</v>
      </c>
      <c r="F249" s="257">
        <f t="shared" ref="F249" si="664">+F244/E244-1</f>
        <v>-6.949018672786611E-2</v>
      </c>
      <c r="G249" s="257">
        <f t="shared" ref="G249" si="665">+G244/F244-1</f>
        <v>0.25373692077727972</v>
      </c>
      <c r="H249" s="257">
        <f t="shared" ref="H249" si="666">+H244/G244-1</f>
        <v>-4.496487119438064E-3</v>
      </c>
      <c r="I249" s="257">
        <f t="shared" ref="I249" si="667">+I244/H244-1</f>
        <v>-0.28709462176103739</v>
      </c>
      <c r="J249" s="258">
        <f t="shared" ref="J249" si="668">+J244/I244-1</f>
        <v>4.7776184504988883E-2</v>
      </c>
      <c r="K249" s="269">
        <f t="shared" ref="K249" si="669">+K244/J244-1</f>
        <v>-1.3078632126251266E-2</v>
      </c>
    </row>
    <row r="250" spans="1:11" x14ac:dyDescent="0.25">
      <c r="A250" s="268" t="s">
        <v>305</v>
      </c>
      <c r="B250" s="256"/>
      <c r="C250" s="257"/>
      <c r="D250" s="257"/>
      <c r="E250" s="257"/>
      <c r="F250" s="257"/>
      <c r="G250" s="257"/>
      <c r="H250" s="257"/>
      <c r="I250" s="257"/>
      <c r="J250" s="258"/>
      <c r="K250" s="269"/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48" t="str">
        <f>+A111</f>
        <v>PRECIO EXPORTACION FRACCIONADO - Dólares/litro</v>
      </c>
      <c r="B256" s="349"/>
      <c r="C256" s="349"/>
      <c r="D256" s="349"/>
      <c r="E256" s="349"/>
      <c r="F256" s="349"/>
      <c r="G256" s="349"/>
      <c r="H256" s="349"/>
      <c r="I256" s="349"/>
      <c r="J256" s="349"/>
      <c r="K256" s="35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670">+C257+1</f>
        <v>2018</v>
      </c>
      <c r="E257" s="291">
        <f t="shared" ref="E257" si="671">+D257+1</f>
        <v>2019</v>
      </c>
      <c r="F257" s="291">
        <f t="shared" ref="F257" si="672">+E257+1</f>
        <v>2020</v>
      </c>
      <c r="G257" s="291">
        <f t="shared" ref="G257" si="673">+F257+1</f>
        <v>2021</v>
      </c>
      <c r="H257" s="291">
        <f t="shared" ref="H257" si="674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59" si="675">+C213/C168</f>
        <v>3.893367224296775</v>
      </c>
      <c r="D258" s="158">
        <f t="shared" si="675"/>
        <v>4.0652083191801163</v>
      </c>
      <c r="E258" s="158">
        <f t="shared" si="675"/>
        <v>3.8942298686946257</v>
      </c>
      <c r="F258" s="158">
        <f t="shared" si="675"/>
        <v>3.7302736354423058</v>
      </c>
      <c r="G258" s="158">
        <f t="shared" si="675"/>
        <v>3.6251453911020644</v>
      </c>
      <c r="H258" s="158">
        <f t="shared" si="675"/>
        <v>3.7652333895186794</v>
      </c>
      <c r="I258" s="158">
        <f t="shared" si="675"/>
        <v>4.0279774226313689</v>
      </c>
      <c r="J258" s="214">
        <f t="shared" si="675"/>
        <v>4.1923080559608943</v>
      </c>
      <c r="K258" s="299">
        <f t="shared" si="675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675"/>
        <v>3.8819050054235245</v>
      </c>
      <c r="D259" s="158">
        <f t="shared" si="675"/>
        <v>4.0622536389861486</v>
      </c>
      <c r="E259" s="158">
        <f t="shared" si="675"/>
        <v>3.8053830645161293</v>
      </c>
      <c r="F259" s="158">
        <f t="shared" si="675"/>
        <v>3.1868970218615864</v>
      </c>
      <c r="G259" s="158">
        <f t="shared" si="675"/>
        <v>3.6764823266063966</v>
      </c>
      <c r="H259" s="158">
        <f t="shared" si="675"/>
        <v>3.9412328040508129</v>
      </c>
      <c r="I259" s="158">
        <f t="shared" si="675"/>
        <v>4.3484964875366003</v>
      </c>
      <c r="J259" s="214">
        <f t="shared" si="675"/>
        <v>4.179024304556691</v>
      </c>
      <c r="K259" s="299">
        <f t="shared" si="675"/>
        <v>4.1788111452869607</v>
      </c>
    </row>
    <row r="260" spans="1:11" x14ac:dyDescent="0.25">
      <c r="A260" s="264" t="s">
        <v>301</v>
      </c>
      <c r="B260" s="193"/>
      <c r="C260" s="6"/>
      <c r="D260" s="6"/>
      <c r="E260" s="6"/>
      <c r="F260" s="6"/>
      <c r="G260" s="6"/>
      <c r="H260" s="6"/>
      <c r="I260" s="6"/>
      <c r="J260" s="67"/>
      <c r="K260" s="265"/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676">SUM(B258:B261)</f>
        <v>7.3578012034263187</v>
      </c>
      <c r="C262" s="286">
        <f t="shared" si="676"/>
        <v>7.775272229720299</v>
      </c>
      <c r="D262" s="286">
        <f t="shared" si="676"/>
        <v>8.1274619581662648</v>
      </c>
      <c r="E262" s="286">
        <f t="shared" si="676"/>
        <v>7.699612933210755</v>
      </c>
      <c r="F262" s="286">
        <f t="shared" si="676"/>
        <v>6.9171706573038918</v>
      </c>
      <c r="G262" s="286">
        <f t="shared" si="676"/>
        <v>7.3016277177084614</v>
      </c>
      <c r="H262" s="286">
        <f t="shared" si="676"/>
        <v>7.7064661935694918</v>
      </c>
      <c r="I262" s="286">
        <f t="shared" si="676"/>
        <v>8.3764739101679702</v>
      </c>
      <c r="J262" s="287">
        <f t="shared" si="676"/>
        <v>8.3713323605175844</v>
      </c>
      <c r="K262" s="288">
        <f t="shared" si="676"/>
        <v>8.4509448549154236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677">+D258/C258-1</f>
        <v>4.4136883315541775E-2</v>
      </c>
      <c r="E263" s="257">
        <f t="shared" si="677"/>
        <v>-4.2058964033600654E-2</v>
      </c>
      <c r="F263" s="257">
        <f t="shared" si="677"/>
        <v>-4.2102351114491121E-2</v>
      </c>
      <c r="G263" s="257">
        <f t="shared" si="677"/>
        <v>-2.8182448424531215E-2</v>
      </c>
      <c r="H263" s="257">
        <f t="shared" si="677"/>
        <v>3.86434151745918E-2</v>
      </c>
      <c r="I263" s="257">
        <f t="shared" si="677"/>
        <v>6.978160606035555E-2</v>
      </c>
      <c r="J263" s="258">
        <f t="shared" si="677"/>
        <v>4.0797307454164544E-2</v>
      </c>
      <c r="K263" s="269">
        <f t="shared" si="677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678">+D259/C259-1</f>
        <v>4.6458796212337505E-2</v>
      </c>
      <c r="E264" s="257">
        <f t="shared" ref="E264" si="679">+E259/D259-1</f>
        <v>-6.323351452129633E-2</v>
      </c>
      <c r="F264" s="257">
        <f t="shared" ref="F264" si="680">+F259/E259-1</f>
        <v>-0.16252924664055757</v>
      </c>
      <c r="G264" s="257">
        <f t="shared" ref="G264" si="681">+G259/F259-1</f>
        <v>0.15362445080162179</v>
      </c>
      <c r="H264" s="257">
        <f t="shared" ref="H264" si="682">+H259/G259-1</f>
        <v>7.2011899942626911E-2</v>
      </c>
      <c r="I264" s="257">
        <f t="shared" ref="I264" si="683">+I259/H259-1</f>
        <v>0.10333408446900183</v>
      </c>
      <c r="J264" s="258">
        <f t="shared" ref="J264" si="684">+J259/I259-1</f>
        <v>-3.8972592818147689E-2</v>
      </c>
      <c r="K264" s="269">
        <f t="shared" ref="K264" si="685">+K259/J259-1</f>
        <v>-5.1006946644949203E-5</v>
      </c>
    </row>
    <row r="265" spans="1:11" x14ac:dyDescent="0.25">
      <c r="A265" s="268" t="s">
        <v>305</v>
      </c>
      <c r="B265" s="256"/>
      <c r="C265" s="257"/>
      <c r="D265" s="257"/>
      <c r="E265" s="257"/>
      <c r="F265" s="257"/>
      <c r="G265" s="257"/>
      <c r="H265" s="257"/>
      <c r="I265" s="257"/>
      <c r="J265" s="258"/>
      <c r="K265" s="269"/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48" t="str">
        <f>+A129</f>
        <v>PRECIO EXPORTACION GRANEL - U$S/Litro</v>
      </c>
      <c r="B271" s="349"/>
      <c r="C271" s="349"/>
      <c r="D271" s="349"/>
      <c r="E271" s="349"/>
      <c r="F271" s="349"/>
      <c r="G271" s="349"/>
      <c r="H271" s="349"/>
      <c r="I271" s="349"/>
      <c r="J271" s="349"/>
      <c r="K271" s="35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686">+C272+1</f>
        <v>2018</v>
      </c>
      <c r="E272" s="291">
        <f t="shared" ref="E272" si="687">+D272+1</f>
        <v>2019</v>
      </c>
      <c r="F272" s="291">
        <f t="shared" ref="F272" si="688">+E272+1</f>
        <v>2020</v>
      </c>
      <c r="G272" s="291">
        <f t="shared" ref="G272" si="689">+F272+1</f>
        <v>2021</v>
      </c>
      <c r="H272" s="291">
        <f t="shared" ref="H272" si="690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4" si="691">+C228/C183</f>
        <v>1.420139509926668</v>
      </c>
      <c r="D273" s="158">
        <f t="shared" si="691"/>
        <v>1.6062433011789925</v>
      </c>
      <c r="E273" s="158">
        <f t="shared" si="691"/>
        <v>0.67024057486047717</v>
      </c>
      <c r="F273" s="158">
        <f t="shared" si="691"/>
        <v>0.33966463077886005</v>
      </c>
      <c r="G273" s="158">
        <f t="shared" si="691"/>
        <v>0.63852558456450559</v>
      </c>
      <c r="H273" s="158">
        <f t="shared" si="691"/>
        <v>0.83869846026396944</v>
      </c>
      <c r="I273" s="158">
        <f t="shared" si="691"/>
        <v>0.98500928137734178</v>
      </c>
      <c r="J273" s="214">
        <f t="shared" si="691"/>
        <v>1.0250235387846742</v>
      </c>
      <c r="K273" s="299">
        <f t="shared" si="691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691"/>
        <v>1.4595722311660151</v>
      </c>
      <c r="D274" s="158">
        <f t="shared" si="691"/>
        <v>1.1803914200100871</v>
      </c>
      <c r="E274" s="158">
        <f t="shared" si="691"/>
        <v>0.69993035241677115</v>
      </c>
      <c r="F274" s="158">
        <f t="shared" si="691"/>
        <v>0.47703030318611506</v>
      </c>
      <c r="G274" s="158">
        <f t="shared" si="691"/>
        <v>0.62948078382383965</v>
      </c>
      <c r="H274" s="158">
        <f t="shared" si="691"/>
        <v>0.80710626790489526</v>
      </c>
      <c r="I274" s="158">
        <f t="shared" si="691"/>
        <v>1.0059285679857328</v>
      </c>
      <c r="J274" s="214">
        <f t="shared" si="691"/>
        <v>0.99041805261566396</v>
      </c>
      <c r="K274" s="299">
        <f t="shared" si="691"/>
        <v>0.99523292585075762</v>
      </c>
    </row>
    <row r="275" spans="1:11" x14ac:dyDescent="0.25">
      <c r="A275" s="264" t="s">
        <v>301</v>
      </c>
      <c r="B275" s="193"/>
      <c r="C275" s="6"/>
      <c r="D275" s="6"/>
      <c r="E275" s="6"/>
      <c r="F275" s="6"/>
      <c r="G275" s="6"/>
      <c r="H275" s="6"/>
      <c r="I275" s="6"/>
      <c r="J275" s="67"/>
      <c r="K275" s="265"/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692">SUM(B273:B276)</f>
        <v>1.9241768384201263</v>
      </c>
      <c r="C277" s="296">
        <f t="shared" si="692"/>
        <v>2.8797117410926831</v>
      </c>
      <c r="D277" s="296">
        <f t="shared" si="692"/>
        <v>2.7866347211890794</v>
      </c>
      <c r="E277" s="296">
        <f t="shared" si="692"/>
        <v>1.3701709272772482</v>
      </c>
      <c r="F277" s="296">
        <f t="shared" si="692"/>
        <v>0.81669493396497517</v>
      </c>
      <c r="G277" s="296">
        <f t="shared" si="692"/>
        <v>1.2680063683883454</v>
      </c>
      <c r="H277" s="296">
        <f t="shared" si="692"/>
        <v>1.6458047281688648</v>
      </c>
      <c r="I277" s="296">
        <f t="shared" si="692"/>
        <v>1.9909378493630747</v>
      </c>
      <c r="J277" s="297">
        <f t="shared" si="692"/>
        <v>2.0154415914003381</v>
      </c>
      <c r="K277" s="298">
        <f t="shared" si="692"/>
        <v>1.9908504216441238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693">+D273/C273-1</f>
        <v>0.13104613310979163</v>
      </c>
      <c r="E278" s="257">
        <f t="shared" si="693"/>
        <v>-0.58272786297784629</v>
      </c>
      <c r="F278" s="257">
        <f t="shared" si="693"/>
        <v>-0.49321983252122947</v>
      </c>
      <c r="G278" s="257">
        <f t="shared" si="693"/>
        <v>0.87987069215993841</v>
      </c>
      <c r="H278" s="257">
        <f t="shared" si="693"/>
        <v>0.31349233380521158</v>
      </c>
      <c r="I278" s="257">
        <f t="shared" si="693"/>
        <v>0.17444985062607943</v>
      </c>
      <c r="J278" s="258">
        <f t="shared" si="693"/>
        <v>4.0623228799814282E-2</v>
      </c>
      <c r="K278" s="269">
        <f t="shared" si="693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694">+D274/C274-1</f>
        <v>-0.19127577600794554</v>
      </c>
      <c r="E279" s="257">
        <f t="shared" ref="E279" si="695">+E274/D274-1</f>
        <v>-0.40703537779799359</v>
      </c>
      <c r="F279" s="257">
        <f t="shared" ref="F279" si="696">+F274/E274-1</f>
        <v>-0.31846032746116859</v>
      </c>
      <c r="G279" s="257">
        <f t="shared" ref="G279" si="697">+G274/F274-1</f>
        <v>0.31958238212436063</v>
      </c>
      <c r="H279" s="257">
        <f t="shared" ref="H279" si="698">+H274/G274-1</f>
        <v>0.28217777038729142</v>
      </c>
      <c r="I279" s="257">
        <f t="shared" ref="I279" si="699">+I274/H274-1</f>
        <v>0.24633968039542675</v>
      </c>
      <c r="J279" s="258">
        <f t="shared" ref="J279" si="700">+J274/I274-1</f>
        <v>-1.5419102174548116E-2</v>
      </c>
      <c r="K279" s="269">
        <f t="shared" ref="K279" si="701">+K274/J274-1</f>
        <v>4.8614554453825232E-3</v>
      </c>
    </row>
    <row r="280" spans="1:11" x14ac:dyDescent="0.25">
      <c r="A280" s="268" t="s">
        <v>305</v>
      </c>
      <c r="B280" s="256"/>
      <c r="C280" s="257"/>
      <c r="D280" s="257"/>
      <c r="E280" s="257"/>
      <c r="F280" s="257"/>
      <c r="G280" s="257"/>
      <c r="H280" s="257"/>
      <c r="I280" s="257"/>
      <c r="J280" s="258"/>
      <c r="K280" s="269"/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0" t="str">
        <f>+A147</f>
        <v>PRECIO DE EXPORTACION DE VINO - U$S/Litro</v>
      </c>
      <c r="B286" s="371"/>
      <c r="C286" s="371"/>
      <c r="D286" s="371"/>
      <c r="E286" s="371"/>
      <c r="F286" s="371"/>
      <c r="G286" s="371"/>
      <c r="H286" s="371"/>
      <c r="I286" s="371"/>
      <c r="J286" s="371"/>
      <c r="K286" s="372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702">+C287+1</f>
        <v>2018</v>
      </c>
      <c r="E287" s="291">
        <f t="shared" ref="E287" si="703">+D287+1</f>
        <v>2019</v>
      </c>
      <c r="F287" s="291">
        <f t="shared" ref="F287" si="704">+E287+1</f>
        <v>2020</v>
      </c>
      <c r="G287" s="291">
        <f t="shared" ref="G287" si="705">+F287+1</f>
        <v>2021</v>
      </c>
      <c r="H287" s="291">
        <f t="shared" ref="H287" si="706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89" si="707">+C243/C198</f>
        <v>3.4371081755684005</v>
      </c>
      <c r="D288" s="158">
        <f t="shared" si="707"/>
        <v>3.6881773884748434</v>
      </c>
      <c r="E288" s="158">
        <f t="shared" si="707"/>
        <v>2.6638800126832818</v>
      </c>
      <c r="F288" s="158">
        <f t="shared" si="707"/>
        <v>1.5639057260178733</v>
      </c>
      <c r="G288" s="158">
        <f t="shared" si="707"/>
        <v>2.4964042603704901</v>
      </c>
      <c r="H288" s="158">
        <f t="shared" si="707"/>
        <v>2.8839804868434022</v>
      </c>
      <c r="I288" s="158">
        <f t="shared" si="707"/>
        <v>3.2428992829640029</v>
      </c>
      <c r="J288" s="214">
        <f t="shared" si="707"/>
        <v>3.3744322020624251</v>
      </c>
      <c r="K288" s="299">
        <f t="shared" si="707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707"/>
        <v>3.6192786448454148</v>
      </c>
      <c r="D289" s="158">
        <f t="shared" si="707"/>
        <v>3.5374052868275974</v>
      </c>
      <c r="E289" s="158">
        <f t="shared" si="707"/>
        <v>2.9802583367260076</v>
      </c>
      <c r="F289" s="158">
        <f t="shared" si="707"/>
        <v>2.0393499163879598</v>
      </c>
      <c r="G289" s="158">
        <f t="shared" si="707"/>
        <v>2.4948981272063411</v>
      </c>
      <c r="H289" s="158">
        <f t="shared" si="707"/>
        <v>3.1102035386457358</v>
      </c>
      <c r="I289" s="158">
        <f t="shared" si="707"/>
        <v>3.5996388979476359</v>
      </c>
      <c r="J289" s="214">
        <f t="shared" si="707"/>
        <v>3.5023093229261719</v>
      </c>
      <c r="K289" s="299">
        <f t="shared" si="707"/>
        <v>3.4949345835327326</v>
      </c>
    </row>
    <row r="290" spans="1:11" x14ac:dyDescent="0.25">
      <c r="A290" s="264" t="s">
        <v>301</v>
      </c>
      <c r="B290" s="193"/>
      <c r="C290" s="6"/>
      <c r="D290" s="6"/>
      <c r="E290" s="6"/>
      <c r="F290" s="6"/>
      <c r="G290" s="6"/>
      <c r="H290" s="6"/>
      <c r="I290" s="6"/>
      <c r="J290" s="67"/>
      <c r="K290" s="265"/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708">SUM(B288:B291)</f>
        <v>6.1441527591589535</v>
      </c>
      <c r="C292" s="296">
        <f t="shared" si="708"/>
        <v>7.0563868204138149</v>
      </c>
      <c r="D292" s="296">
        <f t="shared" si="708"/>
        <v>7.2255826753024408</v>
      </c>
      <c r="E292" s="296">
        <f t="shared" si="708"/>
        <v>5.6441383494092889</v>
      </c>
      <c r="F292" s="296">
        <f t="shared" si="708"/>
        <v>3.6032556424058333</v>
      </c>
      <c r="G292" s="296">
        <f t="shared" si="708"/>
        <v>4.9913023875768312</v>
      </c>
      <c r="H292" s="296">
        <f t="shared" si="708"/>
        <v>5.9941840254891385</v>
      </c>
      <c r="I292" s="296">
        <f t="shared" si="708"/>
        <v>6.8425381809116388</v>
      </c>
      <c r="J292" s="297">
        <f t="shared" si="708"/>
        <v>6.8767415249885975</v>
      </c>
      <c r="K292" s="298">
        <f t="shared" si="708"/>
        <v>6.9363160050142803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709">+D288/C288-1</f>
        <v>7.3046642724569733E-2</v>
      </c>
      <c r="E293" s="257">
        <f t="shared" si="709"/>
        <v>-0.27772454193564022</v>
      </c>
      <c r="F293" s="257">
        <f t="shared" si="709"/>
        <v>-0.41292185887810418</v>
      </c>
      <c r="G293" s="257">
        <f t="shared" si="709"/>
        <v>0.59626262557846776</v>
      </c>
      <c r="H293" s="257">
        <f t="shared" si="709"/>
        <v>0.155253791473418</v>
      </c>
      <c r="I293" s="257">
        <f t="shared" si="709"/>
        <v>0.1244525744047067</v>
      </c>
      <c r="J293" s="258">
        <f t="shared" si="709"/>
        <v>4.0560284986156381E-2</v>
      </c>
      <c r="K293" s="269">
        <f t="shared" si="709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710">+D289/C289-1</f>
        <v>-2.2621457492481789E-2</v>
      </c>
      <c r="E294" s="257">
        <f t="shared" ref="E294" si="711">+E289/D289-1</f>
        <v>-0.15750158800753311</v>
      </c>
      <c r="F294" s="257">
        <f t="shared" ref="F294" si="712">+F289/E289-1</f>
        <v>-0.31571371137298521</v>
      </c>
      <c r="G294" s="257">
        <f t="shared" ref="G294" si="713">+G289/F289-1</f>
        <v>0.22337913035798951</v>
      </c>
      <c r="H294" s="257">
        <f t="shared" ref="H294" si="714">+H289/G289-1</f>
        <v>0.24662546527636464</v>
      </c>
      <c r="I294" s="257">
        <f t="shared" ref="I294" si="715">+I289/H289-1</f>
        <v>0.15736441465017847</v>
      </c>
      <c r="J294" s="258">
        <f t="shared" ref="J294" si="716">+J289/I289-1</f>
        <v>-2.7038705209280089E-2</v>
      </c>
      <c r="K294" s="269">
        <f t="shared" ref="K294" si="717">+K289/J289-1</f>
        <v>-2.1056790572906436E-3</v>
      </c>
    </row>
    <row r="295" spans="1:11" x14ac:dyDescent="0.25">
      <c r="A295" s="268" t="s">
        <v>305</v>
      </c>
      <c r="B295" s="256"/>
      <c r="C295" s="257"/>
      <c r="D295" s="257"/>
      <c r="E295" s="257"/>
      <c r="F295" s="257"/>
      <c r="G295" s="257"/>
      <c r="H295" s="257"/>
      <c r="I295" s="257"/>
      <c r="J295" s="258"/>
      <c r="K295" s="269"/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AD431" sqref="AD431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47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48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49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/>
      <c r="L14" s="7"/>
      <c r="M14" s="2"/>
      <c r="N14" s="42" t="s">
        <v>5</v>
      </c>
      <c r="O14" s="6">
        <f>+SUM('[1]6.EXPORTACION VARIETAL'!B313:B324)/10000</f>
        <v>125.89578800000001</v>
      </c>
      <c r="P14" s="6">
        <f t="shared" ref="P14:W14" si="16">+SUM(C7:C14)+SUM(B15:B18)</f>
        <v>124.30609099999998</v>
      </c>
      <c r="Q14" s="6">
        <f t="shared" si="16"/>
        <v>116.79040000000001</v>
      </c>
      <c r="R14" s="6">
        <f t="shared" si="16"/>
        <v>123.71810000000001</v>
      </c>
      <c r="S14" s="6">
        <f t="shared" si="16"/>
        <v>137.52549999999999</v>
      </c>
      <c r="T14" s="6">
        <f t="shared" si="16"/>
        <v>162.0043</v>
      </c>
      <c r="U14" s="6">
        <f t="shared" si="16"/>
        <v>157.95856700000002</v>
      </c>
      <c r="V14" s="6">
        <f t="shared" si="16"/>
        <v>127.99052900000001</v>
      </c>
      <c r="W14" s="67">
        <f t="shared" si="16"/>
        <v>128.65600000000001</v>
      </c>
      <c r="X14" s="37"/>
      <c r="Y14" s="78"/>
      <c r="Z14" s="7"/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/>
      <c r="L15" s="7"/>
      <c r="M15" s="2"/>
      <c r="N15" s="42" t="s">
        <v>6</v>
      </c>
      <c r="O15" s="6">
        <f>+SUM('[1]6.EXPORTACION VARIETAL'!B314:B325)/10000</f>
        <v>125.731086</v>
      </c>
      <c r="P15" s="6">
        <f t="shared" ref="P15:W15" si="17">+SUM(C7:C15)+SUM(B16:B18)</f>
        <v>123.05131599999999</v>
      </c>
      <c r="Q15" s="6">
        <f t="shared" si="17"/>
        <v>116.0455</v>
      </c>
      <c r="R15" s="6">
        <f t="shared" si="17"/>
        <v>124.4927</v>
      </c>
      <c r="S15" s="6">
        <f t="shared" si="17"/>
        <v>141.518</v>
      </c>
      <c r="T15" s="6">
        <f t="shared" si="17"/>
        <v>162.27360000000002</v>
      </c>
      <c r="U15" s="6">
        <f t="shared" si="17"/>
        <v>157.922156</v>
      </c>
      <c r="V15" s="6">
        <f t="shared" si="17"/>
        <v>124.81664000000001</v>
      </c>
      <c r="W15" s="67">
        <f t="shared" si="17"/>
        <v>127.7925</v>
      </c>
      <c r="X15" s="37"/>
      <c r="Y15" s="78"/>
      <c r="Z15" s="7"/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/>
      <c r="L16" s="7"/>
      <c r="M16" s="2"/>
      <c r="N16" s="42" t="s">
        <v>7</v>
      </c>
      <c r="O16" s="6">
        <f>+SUM('[1]6.EXPORTACION VARIETAL'!B315:B326)/10000</f>
        <v>126.76471400000001</v>
      </c>
      <c r="P16" s="6">
        <f t="shared" ref="P16:W16" si="18">+SUM(C7:C16)+SUM(B17:B18)</f>
        <v>122.52369999999999</v>
      </c>
      <c r="Q16" s="6">
        <f t="shared" si="18"/>
        <v>116.104</v>
      </c>
      <c r="R16" s="6">
        <f t="shared" si="18"/>
        <v>125.2015</v>
      </c>
      <c r="S16" s="6">
        <f t="shared" si="18"/>
        <v>145.71430000000001</v>
      </c>
      <c r="T16" s="6">
        <f t="shared" si="18"/>
        <v>159.89360000000002</v>
      </c>
      <c r="U16" s="6">
        <f t="shared" si="18"/>
        <v>154.896996</v>
      </c>
      <c r="V16" s="6">
        <f t="shared" si="18"/>
        <v>124.9941</v>
      </c>
      <c r="W16" s="67">
        <f t="shared" si="18"/>
        <v>128.05760000000001</v>
      </c>
      <c r="X16" s="37"/>
      <c r="Y16" s="78"/>
      <c r="Z16" s="7"/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19">+SUM(C7:C17)+SUM(B18)</f>
        <v>121.8682</v>
      </c>
      <c r="Q17" s="6">
        <f t="shared" si="19"/>
        <v>116.8907</v>
      </c>
      <c r="R17" s="6">
        <f t="shared" si="19"/>
        <v>126.40159999999999</v>
      </c>
      <c r="S17" s="6">
        <f t="shared" si="19"/>
        <v>147.85980000000001</v>
      </c>
      <c r="T17" s="6">
        <f t="shared" si="19"/>
        <v>162.0641</v>
      </c>
      <c r="U17" s="6">
        <f t="shared" si="19"/>
        <v>150.52509600000002</v>
      </c>
      <c r="V17" s="6">
        <f t="shared" si="19"/>
        <v>123.84350000000001</v>
      </c>
      <c r="W17" s="67">
        <f t="shared" si="19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20">+SUM(C7:C18)</f>
        <v>118.8728</v>
      </c>
      <c r="Q18" s="6">
        <f t="shared" si="20"/>
        <v>117.61559999999999</v>
      </c>
      <c r="R18" s="6">
        <f t="shared" si="20"/>
        <v>126.38589999999999</v>
      </c>
      <c r="S18" s="6">
        <f t="shared" si="20"/>
        <v>149.899</v>
      </c>
      <c r="T18" s="6">
        <f t="shared" si="20"/>
        <v>163.17930000000001</v>
      </c>
      <c r="U18" s="6">
        <f t="shared" si="20"/>
        <v>147.99829600000001</v>
      </c>
      <c r="V18" s="6">
        <f t="shared" si="20"/>
        <v>124.2008</v>
      </c>
      <c r="W18" s="67">
        <f t="shared" si="20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21">SUM(C7:C18)</f>
        <v>118.8728</v>
      </c>
      <c r="D19" s="159">
        <f t="shared" si="21"/>
        <v>117.61559999999999</v>
      </c>
      <c r="E19" s="159">
        <f t="shared" si="21"/>
        <v>126.38589999999999</v>
      </c>
      <c r="F19" s="159">
        <f t="shared" si="21"/>
        <v>149.899</v>
      </c>
      <c r="G19" s="159">
        <f t="shared" si="21"/>
        <v>163.17930000000001</v>
      </c>
      <c r="H19" s="159">
        <f t="shared" ref="H19:I19" si="22">SUM(H7:H18)</f>
        <v>147.99829600000001</v>
      </c>
      <c r="I19" s="159">
        <f t="shared" si="22"/>
        <v>124.2008</v>
      </c>
      <c r="J19" s="216">
        <f t="shared" ref="J19" si="23">SUM(J7:J18)</f>
        <v>128.5752</v>
      </c>
      <c r="K19" s="216"/>
      <c r="L19" s="56"/>
      <c r="M19" s="3"/>
      <c r="N19" s="43" t="s">
        <v>14</v>
      </c>
      <c r="O19" s="46">
        <f t="shared" ref="O19" si="24">+AVERAGE(O7:O18)</f>
        <v>125.02654266666667</v>
      </c>
      <c r="P19" s="46">
        <f>+AVERAGE(P7:P18)</f>
        <v>124.55713825000002</v>
      </c>
      <c r="Q19" s="46">
        <f t="shared" ref="Q19:T19" si="25">+AVERAGE(Q7:Q18)</f>
        <v>117.10108333333335</v>
      </c>
      <c r="R19" s="46">
        <f t="shared" si="25"/>
        <v>122.97904999999999</v>
      </c>
      <c r="S19" s="46">
        <f t="shared" si="25"/>
        <v>136.22014166666668</v>
      </c>
      <c r="T19" s="46">
        <f t="shared" si="25"/>
        <v>159.78534166666668</v>
      </c>
      <c r="U19" s="226">
        <f t="shared" ref="U19:V19" si="26">+AVERAGE(U7:U18)</f>
        <v>157.43510608333335</v>
      </c>
      <c r="V19" s="226">
        <f t="shared" si="26"/>
        <v>133.40852325</v>
      </c>
      <c r="W19" s="220">
        <f t="shared" ref="W19:X19" si="27">+AVERAGE(W7:W18)</f>
        <v>125.79795000000001</v>
      </c>
      <c r="X19" s="220">
        <f t="shared" si="27"/>
        <v>124.80584285714285</v>
      </c>
      <c r="Y19" s="79">
        <f>+X19/W19-1</f>
        <v>-7.8865127997488349E-3</v>
      </c>
      <c r="Z19" s="75">
        <f>+POWER(X19/S19,0.2)-1</f>
        <v>-1.735031788944108E-2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28">+C19/C$163</f>
        <v>0.60672913987056198</v>
      </c>
      <c r="D20" s="58">
        <f t="shared" ref="D20" si="29">+D19/D$163</f>
        <v>0.60678612645788632</v>
      </c>
      <c r="E20" s="58">
        <f t="shared" ref="E20" si="30">+E19/E$163</f>
        <v>0.59470288359556822</v>
      </c>
      <c r="F20" s="58">
        <f t="shared" ref="F20:G20" si="31">+F19/F$163</f>
        <v>0.5777011272762308</v>
      </c>
      <c r="G20" s="58">
        <f t="shared" si="31"/>
        <v>0.60958993152450436</v>
      </c>
      <c r="H20" s="58">
        <f t="shared" ref="H20:I20" si="32">+H19/H$163</f>
        <v>0.64023211276866809</v>
      </c>
      <c r="I20" s="58">
        <f t="shared" si="32"/>
        <v>0.6888758361994709</v>
      </c>
      <c r="J20" s="189">
        <f t="shared" ref="J20" si="33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34">+P19/P$163</f>
        <v>0.60429978588220468</v>
      </c>
      <c r="Q20" s="48">
        <f t="shared" ref="Q20" si="35">+Q19/Q$163</f>
        <v>0.61085081315393253</v>
      </c>
      <c r="R20" s="48">
        <f t="shared" ref="R20" si="36">+R19/R$163</f>
        <v>0.59886383968037615</v>
      </c>
      <c r="S20" s="48">
        <f t="shared" ref="S20:T20" si="37">+S19/S$163</f>
        <v>0.57680737394093384</v>
      </c>
      <c r="T20" s="48">
        <f t="shared" si="37"/>
        <v>0.60118280461954932</v>
      </c>
      <c r="U20" s="58">
        <f t="shared" ref="U20:V20" si="38">+U19/U$163</f>
        <v>0.62198391176329793</v>
      </c>
      <c r="V20" s="58">
        <f t="shared" si="38"/>
        <v>0.66528540345789178</v>
      </c>
      <c r="W20" s="189">
        <f t="shared" ref="W20:X20" si="39">+W19/W$163</f>
        <v>0.70126657887684307</v>
      </c>
      <c r="X20" s="189">
        <f t="shared" si="39"/>
        <v>0.69842376748885637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40">+D19/C19-1</f>
        <v>-1.057601066013425E-2</v>
      </c>
      <c r="E21" s="62">
        <f t="shared" si="40"/>
        <v>7.456748934665125E-2</v>
      </c>
      <c r="F21" s="62">
        <f t="shared" si="40"/>
        <v>0.18604211387504477</v>
      </c>
      <c r="G21" s="62">
        <f t="shared" si="40"/>
        <v>8.8594987291442884E-2</v>
      </c>
      <c r="H21" s="62">
        <f t="shared" si="40"/>
        <v>-9.3032657941295227E-2</v>
      </c>
      <c r="I21" s="62">
        <f t="shared" si="40"/>
        <v>-0.16079574321585433</v>
      </c>
      <c r="J21" s="190">
        <f t="shared" si="40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41">+Q19/P19-1</f>
        <v>-5.9860518806248875E-2</v>
      </c>
      <c r="R21" s="50">
        <f t="shared" si="41"/>
        <v>5.0195664287193242E-2</v>
      </c>
      <c r="S21" s="50">
        <f t="shared" si="41"/>
        <v>0.10766949058938646</v>
      </c>
      <c r="T21" s="50">
        <f t="shared" si="41"/>
        <v>0.17299350677276859</v>
      </c>
      <c r="U21" s="62">
        <f t="shared" si="41"/>
        <v>-1.4708705810050016E-2</v>
      </c>
      <c r="V21" s="62">
        <f t="shared" si="41"/>
        <v>-0.15261261246659708</v>
      </c>
      <c r="W21" s="190">
        <f t="shared" si="41"/>
        <v>-5.7047129108371952E-2</v>
      </c>
      <c r="X21" s="190">
        <f t="shared" si="41"/>
        <v>-7.8865127997488349E-3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50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51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43">+P24+1</f>
        <v>2018</v>
      </c>
      <c r="R24" s="64">
        <f t="shared" si="43"/>
        <v>2019</v>
      </c>
      <c r="S24" s="64">
        <f t="shared" si="43"/>
        <v>2020</v>
      </c>
      <c r="T24" s="64">
        <f t="shared" si="43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44">+SUM(C25)+SUM(B26:B36)</f>
        <v>19.483249999999998</v>
      </c>
      <c r="Q25" s="6">
        <f t="shared" si="44"/>
        <v>18.381299999999996</v>
      </c>
      <c r="R25" s="6">
        <f t="shared" si="44"/>
        <v>17.383699999999997</v>
      </c>
      <c r="S25" s="6">
        <f t="shared" si="44"/>
        <v>17.6219</v>
      </c>
      <c r="T25" s="6">
        <f t="shared" si="44"/>
        <v>23.005700000000001</v>
      </c>
      <c r="U25" s="6">
        <f t="shared" si="44"/>
        <v>23.508000000000003</v>
      </c>
      <c r="V25" s="6">
        <f t="shared" si="44"/>
        <v>21.193683</v>
      </c>
      <c r="W25" s="67">
        <f t="shared" si="44"/>
        <v>16.364100000000001</v>
      </c>
      <c r="X25" s="37">
        <f t="shared" si="44"/>
        <v>15.814500000000002</v>
      </c>
      <c r="Y25" s="78">
        <f t="shared" ref="Y25:Y26" si="45">+X25/W25-1</f>
        <v>-3.3585715071406175E-2</v>
      </c>
      <c r="Z25" s="7">
        <f t="shared" ref="Z25:Z26" si="46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47">+SUM(C25:C26)+SUM(B27:B36)</f>
        <v>19.370054</v>
      </c>
      <c r="Q26" s="6">
        <f t="shared" si="47"/>
        <v>18.358699999999995</v>
      </c>
      <c r="R26" s="6">
        <f t="shared" si="47"/>
        <v>17.532699999999998</v>
      </c>
      <c r="S26" s="6">
        <f t="shared" si="47"/>
        <v>18.113900000000001</v>
      </c>
      <c r="T26" s="6">
        <f t="shared" si="47"/>
        <v>23.231099999999998</v>
      </c>
      <c r="U26" s="6">
        <f t="shared" si="47"/>
        <v>22.994300000000003</v>
      </c>
      <c r="V26" s="6">
        <f t="shared" si="47"/>
        <v>21.024782999999999</v>
      </c>
      <c r="W26" s="67">
        <f t="shared" si="47"/>
        <v>16.136699999999998</v>
      </c>
      <c r="X26" s="37">
        <f t="shared" si="47"/>
        <v>15.937700000000003</v>
      </c>
      <c r="Y26" s="78">
        <f t="shared" si="45"/>
        <v>-1.2332137301926283E-2</v>
      </c>
      <c r="Z26" s="7">
        <f t="shared" si="46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48">+SUM(C25:C27)+SUM(B28:B36)</f>
        <v>19.621102</v>
      </c>
      <c r="Q27" s="6">
        <f t="shared" si="48"/>
        <v>17.839599999999997</v>
      </c>
      <c r="R27" s="6">
        <f t="shared" si="48"/>
        <v>17.480699999999999</v>
      </c>
      <c r="S27" s="6">
        <f t="shared" si="48"/>
        <v>18.761199999999999</v>
      </c>
      <c r="T27" s="6">
        <f t="shared" si="48"/>
        <v>23.9373</v>
      </c>
      <c r="U27" s="6">
        <f t="shared" si="48"/>
        <v>22.203429999999997</v>
      </c>
      <c r="V27" s="6">
        <f t="shared" si="48"/>
        <v>20.608453000000001</v>
      </c>
      <c r="W27" s="67">
        <f t="shared" si="48"/>
        <v>15.698499999999999</v>
      </c>
      <c r="X27" s="37">
        <f t="shared" ref="X27" si="49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50">+SUM(C25:C28)+SUM(B29:B36)</f>
        <v>19.310276999999999</v>
      </c>
      <c r="Q28" s="6">
        <f t="shared" si="50"/>
        <v>17.739699999999999</v>
      </c>
      <c r="R28" s="6">
        <f t="shared" si="50"/>
        <v>17.595499999999998</v>
      </c>
      <c r="S28" s="6">
        <f t="shared" si="50"/>
        <v>19.124000000000002</v>
      </c>
      <c r="T28" s="6">
        <f t="shared" si="50"/>
        <v>24.098199999999999</v>
      </c>
      <c r="U28" s="6">
        <f t="shared" si="50"/>
        <v>22.214309999999998</v>
      </c>
      <c r="V28" s="6">
        <f t="shared" si="50"/>
        <v>19.840672999999999</v>
      </c>
      <c r="W28" s="67">
        <f t="shared" si="50"/>
        <v>16.126099999999997</v>
      </c>
      <c r="X28" s="37">
        <f t="shared" ref="X28" si="51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52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53">+SUM(C25:C29)+SUM(B30:B36)</f>
        <v>19.141981999999999</v>
      </c>
      <c r="Q29" s="6">
        <f t="shared" si="53"/>
        <v>17.530100000000001</v>
      </c>
      <c r="R29" s="6">
        <f t="shared" si="53"/>
        <v>17.684199999999997</v>
      </c>
      <c r="S29" s="6">
        <f t="shared" si="53"/>
        <v>19.197400000000002</v>
      </c>
      <c r="T29" s="6">
        <f t="shared" si="53"/>
        <v>24.543300000000002</v>
      </c>
      <c r="U29" s="6">
        <f t="shared" si="53"/>
        <v>21.917905999999999</v>
      </c>
      <c r="V29" s="6">
        <f t="shared" si="53"/>
        <v>19.574677000000001</v>
      </c>
      <c r="W29" s="67">
        <f t="shared" si="53"/>
        <v>16.274900000000002</v>
      </c>
      <c r="X29" s="37">
        <f t="shared" ref="X29" si="54">+SUM(K25:K29)+SUM(J30:J36)</f>
        <v>15.964799999999997</v>
      </c>
      <c r="Y29" s="78">
        <f t="shared" ref="Y29:Y31" si="55">+X29/W29-1</f>
        <v>-1.905388051539525E-2</v>
      </c>
      <c r="Z29" s="7">
        <f t="shared" ref="Z29:Z31" si="56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52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57">+SUM(C25:C30)+SUM(B31:B36)</f>
        <v>19.567097</v>
      </c>
      <c r="Q30" s="6">
        <f t="shared" si="57"/>
        <v>17.090299999999999</v>
      </c>
      <c r="R30" s="6">
        <f t="shared" si="57"/>
        <v>17.501800000000003</v>
      </c>
      <c r="S30" s="6">
        <f t="shared" si="57"/>
        <v>20.164000000000001</v>
      </c>
      <c r="T30" s="6">
        <f t="shared" si="57"/>
        <v>24.502400000000002</v>
      </c>
      <c r="U30" s="6">
        <f t="shared" si="57"/>
        <v>21.850047</v>
      </c>
      <c r="V30" s="6">
        <f t="shared" si="57"/>
        <v>18.877635999999999</v>
      </c>
      <c r="W30" s="67">
        <f t="shared" si="57"/>
        <v>15.9251</v>
      </c>
      <c r="X30" s="37">
        <f t="shared" ref="X30" si="58">+SUM(K25:K30)+SUM(J31:J36)</f>
        <v>16.128299999999996</v>
      </c>
      <c r="Y30" s="78">
        <f t="shared" si="55"/>
        <v>1.2759731493051651E-2</v>
      </c>
      <c r="Z30" s="7">
        <f t="shared" si="56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59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60">+SUM(C25:C31)+SUM(B32:B36)</f>
        <v>19.990304000000002</v>
      </c>
      <c r="Q31" s="6">
        <f t="shared" si="60"/>
        <v>17.293199999999999</v>
      </c>
      <c r="R31" s="6">
        <f t="shared" si="60"/>
        <v>17.627600000000001</v>
      </c>
      <c r="S31" s="6">
        <f t="shared" si="60"/>
        <v>19.995699999999999</v>
      </c>
      <c r="T31" s="6">
        <f t="shared" si="60"/>
        <v>24.645499999999998</v>
      </c>
      <c r="U31" s="6">
        <f t="shared" si="60"/>
        <v>21.824426000000003</v>
      </c>
      <c r="V31" s="6">
        <f t="shared" si="60"/>
        <v>18.834157000000001</v>
      </c>
      <c r="W31" s="67">
        <f t="shared" si="60"/>
        <v>15.939200000000001</v>
      </c>
      <c r="X31" s="37">
        <f t="shared" ref="X31" si="61">+SUM(K25:K31)+SUM(J32:J36)</f>
        <v>15.541699999999999</v>
      </c>
      <c r="Y31" s="78">
        <f t="shared" si="55"/>
        <v>-2.4938516362176477E-2</v>
      </c>
      <c r="Z31" s="7">
        <f t="shared" si="56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/>
      <c r="L32" s="7"/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62">+SUM(C25:C32)+SUM(B33:B36)</f>
        <v>19.549650999999997</v>
      </c>
      <c r="Q32" s="6">
        <f t="shared" si="62"/>
        <v>17.248499999999996</v>
      </c>
      <c r="R32" s="6">
        <f t="shared" si="62"/>
        <v>17.335800000000003</v>
      </c>
      <c r="S32" s="6">
        <f t="shared" si="62"/>
        <v>20.553400000000003</v>
      </c>
      <c r="T32" s="6">
        <f t="shared" si="62"/>
        <v>24.557499999999997</v>
      </c>
      <c r="U32" s="6">
        <f t="shared" si="62"/>
        <v>21.939644000000001</v>
      </c>
      <c r="V32" s="6">
        <f t="shared" si="62"/>
        <v>18.374439000000002</v>
      </c>
      <c r="W32" s="67">
        <f t="shared" si="62"/>
        <v>15.707300000000002</v>
      </c>
      <c r="X32" s="37"/>
      <c r="Y32" s="78"/>
      <c r="Z32" s="7"/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/>
      <c r="L33" s="7"/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63">+SUM(C25:C33)+SUM(B34:B36)</f>
        <v>19.043455999999999</v>
      </c>
      <c r="Q33" s="6">
        <f t="shared" si="63"/>
        <v>17.265599999999999</v>
      </c>
      <c r="R33" s="6">
        <f t="shared" si="63"/>
        <v>17.345400000000001</v>
      </c>
      <c r="S33" s="6">
        <f t="shared" si="63"/>
        <v>21.491300000000003</v>
      </c>
      <c r="T33" s="6">
        <f t="shared" si="63"/>
        <v>24.310699999999997</v>
      </c>
      <c r="U33" s="6">
        <f t="shared" si="63"/>
        <v>21.531632000000002</v>
      </c>
      <c r="V33" s="6">
        <f t="shared" si="63"/>
        <v>18.157750999999998</v>
      </c>
      <c r="W33" s="67">
        <f t="shared" si="63"/>
        <v>15.752400000000002</v>
      </c>
      <c r="X33" s="37"/>
      <c r="Y33" s="78"/>
      <c r="Z33" s="7"/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/>
      <c r="L34" s="7"/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64">+SUM(C25:C34)+SUM(B35:B36)</f>
        <v>18.916499999999999</v>
      </c>
      <c r="Q34" s="6">
        <f t="shared" si="64"/>
        <v>17.233699999999999</v>
      </c>
      <c r="R34" s="6">
        <f t="shared" si="64"/>
        <v>17.354700000000001</v>
      </c>
      <c r="S34" s="6">
        <f t="shared" si="64"/>
        <v>22.023900000000005</v>
      </c>
      <c r="T34" s="6">
        <f t="shared" si="64"/>
        <v>23.765699999999995</v>
      </c>
      <c r="U34" s="6">
        <f t="shared" si="64"/>
        <v>21.762983000000002</v>
      </c>
      <c r="V34" s="6">
        <f t="shared" si="64"/>
        <v>17.505699999999997</v>
      </c>
      <c r="W34" s="67">
        <f t="shared" si="64"/>
        <v>16.075000000000003</v>
      </c>
      <c r="X34" s="37"/>
      <c r="Y34" s="78"/>
      <c r="Z34" s="7"/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65">+SUM(C25:C35)+SUM(B36)</f>
        <v>18.8522</v>
      </c>
      <c r="Q35" s="6">
        <f t="shared" si="65"/>
        <v>17.152099999999997</v>
      </c>
      <c r="R35" s="6">
        <f t="shared" si="65"/>
        <v>17.309000000000001</v>
      </c>
      <c r="S35" s="6">
        <f t="shared" si="65"/>
        <v>23.017400000000002</v>
      </c>
      <c r="T35" s="6">
        <f t="shared" si="65"/>
        <v>23.542199999999998</v>
      </c>
      <c r="U35" s="6">
        <f t="shared" si="65"/>
        <v>21.207583</v>
      </c>
      <c r="V35" s="6">
        <f t="shared" si="65"/>
        <v>17.1053</v>
      </c>
      <c r="W35" s="67">
        <f t="shared" si="65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66">+SUM(C25:C36)</f>
        <v>18.6858</v>
      </c>
      <c r="Q36" s="6">
        <f t="shared" si="66"/>
        <v>17.256799999999998</v>
      </c>
      <c r="R36" s="6">
        <f t="shared" si="66"/>
        <v>17.327900000000003</v>
      </c>
      <c r="S36" s="6">
        <f t="shared" si="66"/>
        <v>22.973400000000002</v>
      </c>
      <c r="T36" s="6">
        <f t="shared" si="66"/>
        <v>23.892599999999998</v>
      </c>
      <c r="U36" s="6">
        <f t="shared" si="66"/>
        <v>21.001882999999999</v>
      </c>
      <c r="V36" s="6">
        <f t="shared" si="66"/>
        <v>16.873899999999999</v>
      </c>
      <c r="W36" s="67">
        <f t="shared" si="66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7">SUM(G25:G36)</f>
        <v>23.892599999999998</v>
      </c>
      <c r="H37" s="159">
        <f t="shared" si="67"/>
        <v>21.001882999999999</v>
      </c>
      <c r="I37" s="159">
        <f t="shared" ref="I37" si="68">SUM(I25:I36)</f>
        <v>16.873899999999999</v>
      </c>
      <c r="J37" s="216">
        <f t="shared" ref="J37" si="69">SUM(J25:J36)</f>
        <v>15.973400000000002</v>
      </c>
      <c r="K37" s="216"/>
      <c r="L37" s="56"/>
      <c r="M37" s="3"/>
      <c r="N37" s="43" t="s">
        <v>14</v>
      </c>
      <c r="O37" s="46">
        <f t="shared" ref="O37:W37" si="70">+AVERAGE(O25:O36)</f>
        <v>22.626516833333337</v>
      </c>
      <c r="P37" s="46">
        <f t="shared" si="70"/>
        <v>19.294306083333336</v>
      </c>
      <c r="Q37" s="46">
        <f t="shared" si="70"/>
        <v>17.532466666666668</v>
      </c>
      <c r="R37" s="46">
        <f t="shared" si="70"/>
        <v>17.456583333333334</v>
      </c>
      <c r="S37" s="46">
        <f t="shared" si="70"/>
        <v>20.253125000000001</v>
      </c>
      <c r="T37" s="46">
        <f t="shared" si="70"/>
        <v>24.002683333333334</v>
      </c>
      <c r="U37" s="226">
        <f t="shared" si="70"/>
        <v>21.996345333333334</v>
      </c>
      <c r="V37" s="226">
        <f t="shared" si="70"/>
        <v>18.997595999999998</v>
      </c>
      <c r="W37" s="220">
        <f t="shared" si="70"/>
        <v>16.005549999999999</v>
      </c>
      <c r="X37" s="220">
        <f t="shared" ref="X37" si="71">+AVERAGE(X25:X36)</f>
        <v>15.983214285714284</v>
      </c>
      <c r="Y37" s="79">
        <f>+X37/W37-1</f>
        <v>-1.3954980794608218E-3</v>
      </c>
      <c r="Z37" s="75">
        <f>+POWER(X37/S37,0.2)-1</f>
        <v>-4.6250296867566765E-2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72">+C37/C$163</f>
        <v>9.5372695535003368E-2</v>
      </c>
      <c r="D38" s="58">
        <f t="shared" ref="D38" si="73">+D37/D$163</f>
        <v>8.9028894356347726E-2</v>
      </c>
      <c r="E38" s="58">
        <f t="shared" ref="E38" si="74">+E37/E$163</f>
        <v>8.1535615101491932E-2</v>
      </c>
      <c r="F38" s="58">
        <f t="shared" ref="F38:G38" si="75">+F37/F$163</f>
        <v>8.8538009442142782E-2</v>
      </c>
      <c r="G38" s="58">
        <f t="shared" si="75"/>
        <v>8.9255735243026366E-2</v>
      </c>
      <c r="H38" s="58">
        <f t="shared" ref="H38" si="76">+H37/H$163</f>
        <v>9.085293742307933E-2</v>
      </c>
      <c r="I38" s="58">
        <f t="shared" ref="I38" si="77">+I37/I$163</f>
        <v>9.3590556360717905E-2</v>
      </c>
      <c r="J38" s="189">
        <f t="shared" ref="J38" si="78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79">+P37/P$163</f>
        <v>9.3608003513231425E-2</v>
      </c>
      <c r="Q38" s="48">
        <f t="shared" ref="Q38" si="80">+Q37/Q$163</f>
        <v>9.1457066109643589E-2</v>
      </c>
      <c r="R38" s="48">
        <f t="shared" ref="R38" si="81">+R37/R$163</f>
        <v>8.5007296142720748E-2</v>
      </c>
      <c r="S38" s="48">
        <f t="shared" ref="S38:W38" si="82">+S37/S$163</f>
        <v>8.5759357628139368E-2</v>
      </c>
      <c r="T38" s="48">
        <f t="shared" si="82"/>
        <v>9.0308662448093227E-2</v>
      </c>
      <c r="U38" s="58">
        <f t="shared" si="82"/>
        <v>8.6901665424490668E-2</v>
      </c>
      <c r="V38" s="58">
        <f t="shared" si="82"/>
        <v>9.4737749970484217E-2</v>
      </c>
      <c r="W38" s="189">
        <f t="shared" si="82"/>
        <v>8.9223689984950103E-2</v>
      </c>
      <c r="X38" s="189">
        <f t="shared" ref="X38" si="83">+X37/X$163</f>
        <v>8.9443382476795646E-2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84">+D37/C37-1</f>
        <v>-7.647518436459777E-2</v>
      </c>
      <c r="E39" s="62">
        <f t="shared" si="84"/>
        <v>4.1201149691718619E-3</v>
      </c>
      <c r="F39" s="62">
        <f t="shared" si="84"/>
        <v>0.32580405011570912</v>
      </c>
      <c r="G39" s="62">
        <f t="shared" si="84"/>
        <v>4.0011491551098066E-2</v>
      </c>
      <c r="H39" s="62">
        <f t="shared" si="84"/>
        <v>-0.12098796280019752</v>
      </c>
      <c r="I39" s="62">
        <f t="shared" si="84"/>
        <v>-0.19655299479575239</v>
      </c>
      <c r="J39" s="190">
        <f t="shared" si="84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85">+Q37/P37-1</f>
        <v>-9.1313955995990237E-2</v>
      </c>
      <c r="R39" s="50">
        <f t="shared" si="85"/>
        <v>-4.3281607075634776E-3</v>
      </c>
      <c r="S39" s="50">
        <f t="shared" si="85"/>
        <v>0.16019982909981434</v>
      </c>
      <c r="T39" s="50">
        <f t="shared" ref="T39" si="86">+T37/S37-1</f>
        <v>0.18513480429974805</v>
      </c>
      <c r="U39" s="62">
        <f t="shared" ref="U39" si="87">+U37/T37-1</f>
        <v>-8.3588071055944457E-2</v>
      </c>
      <c r="V39" s="62">
        <f t="shared" ref="V39" si="88">+V37/U37-1</f>
        <v>-0.13632943508979289</v>
      </c>
      <c r="W39" s="190">
        <f t="shared" ref="W39:X39" si="89">+W37/V37-1</f>
        <v>-0.15749603265592127</v>
      </c>
      <c r="X39" s="190">
        <f t="shared" si="89"/>
        <v>-1.3954980794608218E-3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52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53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91">+P42+1</f>
        <v>2018</v>
      </c>
      <c r="R42" s="64">
        <f t="shared" si="91"/>
        <v>2019</v>
      </c>
      <c r="S42" s="64">
        <f t="shared" si="91"/>
        <v>2020</v>
      </c>
      <c r="T42" s="64">
        <f t="shared" si="91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92">+SUM(C43)+SUM(B44:B54)</f>
        <v>2.481122</v>
      </c>
      <c r="Q43" s="6">
        <f t="shared" si="92"/>
        <v>2.1335000000000002</v>
      </c>
      <c r="R43" s="6">
        <f t="shared" si="92"/>
        <v>4.5867000000000004</v>
      </c>
      <c r="S43" s="6">
        <f t="shared" si="92"/>
        <v>16.324200000000001</v>
      </c>
      <c r="T43" s="6">
        <f t="shared" si="92"/>
        <v>6.9447999999999999</v>
      </c>
      <c r="U43" s="6">
        <f t="shared" si="92"/>
        <v>5.1324000000000005</v>
      </c>
      <c r="V43" s="6">
        <f t="shared" si="92"/>
        <v>3.2264909999999998</v>
      </c>
      <c r="W43" s="67">
        <f t="shared" si="92"/>
        <v>1.8861999999999999</v>
      </c>
      <c r="X43" s="37">
        <f t="shared" si="92"/>
        <v>1.5899000000000001</v>
      </c>
      <c r="Y43" s="78">
        <f t="shared" ref="Y43:Y44" si="93">+X43/W43-1</f>
        <v>-0.15708832573428044</v>
      </c>
      <c r="Z43" s="7">
        <f t="shared" ref="Z43:Z44" si="94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95">+SUM(C43:C44)+SUM(B45:B54)</f>
        <v>2.4327500000000004</v>
      </c>
      <c r="Q44" s="6">
        <f t="shared" si="95"/>
        <v>2.1303000000000001</v>
      </c>
      <c r="R44" s="6">
        <f t="shared" si="95"/>
        <v>5.6326999999999998</v>
      </c>
      <c r="S44" s="6">
        <f t="shared" si="95"/>
        <v>15.702299999999999</v>
      </c>
      <c r="T44" s="6">
        <f t="shared" si="95"/>
        <v>6.7985000000000007</v>
      </c>
      <c r="U44" s="6">
        <f t="shared" si="95"/>
        <v>5.0223999999999993</v>
      </c>
      <c r="V44" s="6">
        <f t="shared" si="95"/>
        <v>3.004591</v>
      </c>
      <c r="W44" s="67">
        <f t="shared" si="95"/>
        <v>1.903</v>
      </c>
      <c r="X44" s="37">
        <f t="shared" si="95"/>
        <v>1.5487</v>
      </c>
      <c r="Y44" s="78">
        <f t="shared" si="93"/>
        <v>-0.18617971623751972</v>
      </c>
      <c r="Z44" s="7">
        <f t="shared" si="94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96">+SUM(C43:C45)+SUM(B46:B54)</f>
        <v>2.5460250000000002</v>
      </c>
      <c r="Q45" s="6">
        <f t="shared" si="96"/>
        <v>1.9967000000000001</v>
      </c>
      <c r="R45" s="6">
        <f t="shared" si="96"/>
        <v>6.6563999999999997</v>
      </c>
      <c r="S45" s="6">
        <f t="shared" si="96"/>
        <v>14.879199999999999</v>
      </c>
      <c r="T45" s="6">
        <f t="shared" si="96"/>
        <v>7.1509999999999998</v>
      </c>
      <c r="U45" s="6">
        <f t="shared" si="96"/>
        <v>4.7885899999999992</v>
      </c>
      <c r="V45" s="6">
        <f t="shared" si="96"/>
        <v>2.7719010000000002</v>
      </c>
      <c r="W45" s="67">
        <f t="shared" si="96"/>
        <v>1.7323999999999999</v>
      </c>
      <c r="X45" s="37">
        <f t="shared" ref="X45" si="97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98">+SUM(C43:C46)+SUM(B47:B54)</f>
        <v>2.3623339999999997</v>
      </c>
      <c r="Q46" s="6">
        <f t="shared" si="98"/>
        <v>1.9736000000000002</v>
      </c>
      <c r="R46" s="6">
        <f t="shared" si="98"/>
        <v>7.9449000000000005</v>
      </c>
      <c r="S46" s="6">
        <f t="shared" si="98"/>
        <v>13.9832</v>
      </c>
      <c r="T46" s="6">
        <f t="shared" si="98"/>
        <v>6.9920999999999998</v>
      </c>
      <c r="U46" s="6">
        <f t="shared" si="98"/>
        <v>4.6155099999999996</v>
      </c>
      <c r="V46" s="6">
        <f t="shared" si="98"/>
        <v>2.7094810000000003</v>
      </c>
      <c r="W46" s="67">
        <f t="shared" si="98"/>
        <v>1.7570999999999999</v>
      </c>
      <c r="X46" s="37">
        <f t="shared" ref="X46" si="99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00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01">+SUM(C43:C47)+SUM(B48:B54)</f>
        <v>2.3415330000000001</v>
      </c>
      <c r="Q47" s="6">
        <f t="shared" si="101"/>
        <v>2.0697000000000001</v>
      </c>
      <c r="R47" s="6">
        <f t="shared" si="101"/>
        <v>9.2289999999999992</v>
      </c>
      <c r="S47" s="6">
        <f t="shared" si="101"/>
        <v>13.276699999999998</v>
      </c>
      <c r="T47" s="6">
        <f t="shared" si="101"/>
        <v>6.8674999999999997</v>
      </c>
      <c r="U47" s="6">
        <f t="shared" si="101"/>
        <v>4.1206230000000001</v>
      </c>
      <c r="V47" s="6">
        <f t="shared" si="101"/>
        <v>2.6759680000000001</v>
      </c>
      <c r="W47" s="67">
        <f t="shared" si="101"/>
        <v>1.7228999999999999</v>
      </c>
      <c r="X47" s="37">
        <f t="shared" ref="X47" si="102">+SUM(K43:K47)+SUM(J48:J54)</f>
        <v>1.4321999999999999</v>
      </c>
      <c r="Y47" s="78">
        <f t="shared" ref="Y47:Y49" si="103">+X47/W47-1</f>
        <v>-0.16872714609089323</v>
      </c>
      <c r="Z47" s="7">
        <f t="shared" ref="Z47:Z49" si="104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00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05">+SUM(C43:C48)+SUM(B49:B54)</f>
        <v>2.2260469999999999</v>
      </c>
      <c r="Q48" s="6">
        <f t="shared" si="105"/>
        <v>2.1151</v>
      </c>
      <c r="R48" s="6">
        <f t="shared" si="105"/>
        <v>10.2332</v>
      </c>
      <c r="S48" s="6">
        <f t="shared" si="105"/>
        <v>12.869499999999999</v>
      </c>
      <c r="T48" s="6">
        <f t="shared" si="105"/>
        <v>6.3790999999999993</v>
      </c>
      <c r="U48" s="6">
        <f t="shared" si="105"/>
        <v>4.431514</v>
      </c>
      <c r="V48" s="6">
        <f t="shared" si="105"/>
        <v>2.1897769999999999</v>
      </c>
      <c r="W48" s="67">
        <f t="shared" si="105"/>
        <v>1.6742999999999999</v>
      </c>
      <c r="X48" s="37">
        <f t="shared" ref="X48" si="106">+SUM(K43:K48)+SUM(J49:J54)</f>
        <v>1.4414</v>
      </c>
      <c r="Y48" s="78">
        <f t="shared" si="103"/>
        <v>-0.13910290867825359</v>
      </c>
      <c r="Z48" s="7">
        <f t="shared" si="104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07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08">+SUM(C43:C49)+SUM(B50:B54)</f>
        <v>2.2387779999999999</v>
      </c>
      <c r="Q49" s="6">
        <f t="shared" si="108"/>
        <v>2.0902000000000003</v>
      </c>
      <c r="R49" s="6">
        <f t="shared" si="108"/>
        <v>12.135300000000001</v>
      </c>
      <c r="S49" s="6">
        <f t="shared" si="108"/>
        <v>11.398699999999998</v>
      </c>
      <c r="T49" s="6">
        <f t="shared" si="108"/>
        <v>6.1580999999999992</v>
      </c>
      <c r="U49" s="6">
        <f t="shared" si="108"/>
        <v>4.2267790000000005</v>
      </c>
      <c r="V49" s="6">
        <f t="shared" si="108"/>
        <v>2.291512</v>
      </c>
      <c r="W49" s="67">
        <f t="shared" si="108"/>
        <v>1.6080999999999999</v>
      </c>
      <c r="X49" s="37">
        <f t="shared" ref="X49" si="109">+SUM(K43:K49)+SUM(J50:J54)</f>
        <v>1.3439000000000001</v>
      </c>
      <c r="Y49" s="78">
        <f t="shared" si="103"/>
        <v>-0.16429326534419486</v>
      </c>
      <c r="Z49" s="7">
        <f t="shared" si="104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/>
      <c r="L50" s="7"/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10">+SUM(C43:C50)+SUM(B51:B54)</f>
        <v>2.2970479999999998</v>
      </c>
      <c r="Q50" s="6">
        <f t="shared" si="110"/>
        <v>2.3483999999999998</v>
      </c>
      <c r="R50" s="6">
        <f t="shared" si="110"/>
        <v>13.383500000000002</v>
      </c>
      <c r="S50" s="6">
        <f t="shared" si="110"/>
        <v>10.426399999999999</v>
      </c>
      <c r="T50" s="6">
        <f t="shared" si="110"/>
        <v>5.7363999999999997</v>
      </c>
      <c r="U50" s="6">
        <f t="shared" si="110"/>
        <v>4.1299700000000001</v>
      </c>
      <c r="V50" s="6">
        <f t="shared" si="110"/>
        <v>2.333021</v>
      </c>
      <c r="W50" s="67">
        <f t="shared" si="110"/>
        <v>1.4312</v>
      </c>
      <c r="X50" s="37"/>
      <c r="Y50" s="78"/>
      <c r="Z50" s="7"/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/>
      <c r="L51" s="7"/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11">+SUM(C43:C51)+SUM(B52:B54)</f>
        <v>2.3058589999999999</v>
      </c>
      <c r="Q51" s="6">
        <f t="shared" si="111"/>
        <v>2.3856999999999999</v>
      </c>
      <c r="R51" s="6">
        <f t="shared" si="111"/>
        <v>14.5639</v>
      </c>
      <c r="S51" s="6">
        <f t="shared" si="111"/>
        <v>9.4253999999999998</v>
      </c>
      <c r="T51" s="6">
        <f t="shared" si="111"/>
        <v>5.5993999999999993</v>
      </c>
      <c r="U51" s="6">
        <f t="shared" si="111"/>
        <v>4.0444499999999994</v>
      </c>
      <c r="V51" s="6">
        <f t="shared" si="111"/>
        <v>2.2678409999999998</v>
      </c>
      <c r="W51" s="67">
        <f t="shared" si="111"/>
        <v>1.4561000000000002</v>
      </c>
      <c r="X51" s="37"/>
      <c r="Y51" s="78"/>
      <c r="Z51" s="7"/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/>
      <c r="L52" s="7"/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12">+SUM(C43:C52)+SUM(B53:B54)</f>
        <v>2.1646000000000001</v>
      </c>
      <c r="Q52" s="6">
        <f t="shared" si="112"/>
        <v>2.6837999999999997</v>
      </c>
      <c r="R52" s="6">
        <f t="shared" si="112"/>
        <v>15.650900000000002</v>
      </c>
      <c r="S52" s="6">
        <f t="shared" si="112"/>
        <v>8.5251000000000001</v>
      </c>
      <c r="T52" s="6">
        <f t="shared" si="112"/>
        <v>5.3623999999999992</v>
      </c>
      <c r="U52" s="6">
        <f t="shared" si="112"/>
        <v>3.8186910000000003</v>
      </c>
      <c r="V52" s="6">
        <f t="shared" si="112"/>
        <v>2.2124999999999999</v>
      </c>
      <c r="W52" s="67">
        <f t="shared" si="112"/>
        <v>1.5076000000000001</v>
      </c>
      <c r="X52" s="37"/>
      <c r="Y52" s="78"/>
      <c r="Z52" s="7"/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13">+SUM(C43:C53)+SUM(B54)</f>
        <v>2.1669999999999998</v>
      </c>
      <c r="Q53" s="6">
        <f t="shared" si="113"/>
        <v>2.8003999999999998</v>
      </c>
      <c r="R53" s="6">
        <f t="shared" si="113"/>
        <v>16.636900000000001</v>
      </c>
      <c r="S53" s="6">
        <f t="shared" si="113"/>
        <v>7.7007999999999992</v>
      </c>
      <c r="T53" s="6">
        <f t="shared" si="113"/>
        <v>5.3117999999999999</v>
      </c>
      <c r="U53" s="6">
        <f t="shared" si="113"/>
        <v>3.7129909999999997</v>
      </c>
      <c r="V53" s="6">
        <f t="shared" si="113"/>
        <v>2.0897999999999999</v>
      </c>
      <c r="W53" s="67">
        <f t="shared" si="113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14">+SUM(C43:C54)</f>
        <v>2.0907999999999998</v>
      </c>
      <c r="Q54" s="6">
        <f t="shared" si="114"/>
        <v>3.3881999999999999</v>
      </c>
      <c r="R54" s="6">
        <f t="shared" si="114"/>
        <v>17.327900000000003</v>
      </c>
      <c r="S54" s="6">
        <f t="shared" si="114"/>
        <v>6.9528999999999996</v>
      </c>
      <c r="T54" s="6">
        <f t="shared" si="114"/>
        <v>5.3048999999999999</v>
      </c>
      <c r="U54" s="6">
        <f t="shared" si="114"/>
        <v>3.3147909999999996</v>
      </c>
      <c r="V54" s="6">
        <f t="shared" si="114"/>
        <v>1.9229999999999998</v>
      </c>
      <c r="W54" s="67">
        <f t="shared" si="114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15">SUM(C43:C54)</f>
        <v>2.0907999999999998</v>
      </c>
      <c r="D55" s="159">
        <f t="shared" si="115"/>
        <v>3.3881999999999999</v>
      </c>
      <c r="E55" s="159">
        <f t="shared" si="115"/>
        <v>17.327900000000003</v>
      </c>
      <c r="F55" s="159">
        <f t="shared" si="115"/>
        <v>6.9528999999999996</v>
      </c>
      <c r="G55" s="159">
        <f t="shared" si="115"/>
        <v>5.3048999999999999</v>
      </c>
      <c r="H55" s="159">
        <f t="shared" ref="H55" si="116">SUM(H43:H54)</f>
        <v>3.3147909999999996</v>
      </c>
      <c r="I55" s="159">
        <f t="shared" ref="I55:J55" si="117">SUM(I43:I54)</f>
        <v>1.9229999999999998</v>
      </c>
      <c r="J55" s="216">
        <f t="shared" si="117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18">+AVERAGE(Q43:Q54)</f>
        <v>2.3429666666666669</v>
      </c>
      <c r="R55" s="46">
        <f t="shared" si="118"/>
        <v>11.165108333333334</v>
      </c>
      <c r="S55" s="46">
        <f t="shared" si="118"/>
        <v>11.788699999999999</v>
      </c>
      <c r="T55" s="46">
        <f t="shared" si="118"/>
        <v>6.2171666666666674</v>
      </c>
      <c r="U55" s="226">
        <f t="shared" si="118"/>
        <v>4.2798924166666668</v>
      </c>
      <c r="V55" s="226">
        <f t="shared" si="118"/>
        <v>2.4746569166666665</v>
      </c>
      <c r="W55" s="220">
        <f t="shared" si="118"/>
        <v>1.6664750000000002</v>
      </c>
      <c r="X55" s="220">
        <f t="shared" ref="X55" si="119">+AVERAGE(X43:X54)</f>
        <v>1.4733571428571428</v>
      </c>
      <c r="Y55" s="79">
        <f>+X55/W55-1</f>
        <v>-0.11588404095042371</v>
      </c>
      <c r="Z55" s="75">
        <f>+POWER(X55/S55,0.2)-1</f>
        <v>-0.34026667298346414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20">+C55/C$163</f>
        <v>1.0671484861476897E-2</v>
      </c>
      <c r="D56" s="58">
        <f t="shared" si="120"/>
        <v>1.7479932540110415E-2</v>
      </c>
      <c r="E56" s="58">
        <f t="shared" si="120"/>
        <v>8.1535615101491932E-2</v>
      </c>
      <c r="F56" s="58">
        <f t="shared" si="120"/>
        <v>2.6796030446093067E-2</v>
      </c>
      <c r="G56" s="58">
        <f t="shared" si="120"/>
        <v>1.9817548106557285E-2</v>
      </c>
      <c r="H56" s="58">
        <f t="shared" ref="H56" si="121">+H55/H$163</f>
        <v>1.4339595135045107E-2</v>
      </c>
      <c r="I56" s="58">
        <f t="shared" ref="I56:J56" si="122">+I55/I$163</f>
        <v>1.0665859100839789E-2</v>
      </c>
      <c r="J56" s="189">
        <f t="shared" si="122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23">+P55/P$163</f>
        <v>1.1180440068441677E-2</v>
      </c>
      <c r="Q56" s="48">
        <f t="shared" si="123"/>
        <v>1.2221945799185393E-2</v>
      </c>
      <c r="R56" s="48">
        <f t="shared" si="123"/>
        <v>5.4370070731131578E-2</v>
      </c>
      <c r="S56" s="48">
        <f t="shared" si="123"/>
        <v>4.9917794872191147E-2</v>
      </c>
      <c r="T56" s="48">
        <f t="shared" si="123"/>
        <v>2.3391718254425872E-2</v>
      </c>
      <c r="U56" s="58">
        <f t="shared" si="123"/>
        <v>1.6908707933511024E-2</v>
      </c>
      <c r="V56" s="58">
        <f t="shared" si="123"/>
        <v>1.2340689223725785E-2</v>
      </c>
      <c r="W56" s="189">
        <f t="shared" si="123"/>
        <v>9.2898431336423757E-3</v>
      </c>
      <c r="X56" s="189">
        <f t="shared" ref="X56" si="124">+X55/X$163</f>
        <v>8.2450278209231283E-3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25">+D55/C55-1</f>
        <v>0.62052802754926351</v>
      </c>
      <c r="E57" s="62">
        <f t="shared" si="125"/>
        <v>4.1141904255947122</v>
      </c>
      <c r="F57" s="62">
        <f t="shared" si="125"/>
        <v>-0.59874537595438582</v>
      </c>
      <c r="G57" s="62">
        <f t="shared" si="125"/>
        <v>-0.23702340030778524</v>
      </c>
      <c r="H57" s="62">
        <f t="shared" si="125"/>
        <v>-0.37514543158212221</v>
      </c>
      <c r="I57" s="62">
        <f t="shared" si="125"/>
        <v>-0.41987292713175584</v>
      </c>
      <c r="J57" s="190">
        <f t="shared" si="125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26">+Q55/P55-1</f>
        <v>1.6695803007287013E-2</v>
      </c>
      <c r="R57" s="50">
        <f t="shared" si="126"/>
        <v>3.7653722488582853</v>
      </c>
      <c r="S57" s="50">
        <f t="shared" si="126"/>
        <v>5.5851824097840286E-2</v>
      </c>
      <c r="T57" s="50">
        <f t="shared" ref="T57" si="127">+T55/S55-1</f>
        <v>-0.47261643212002447</v>
      </c>
      <c r="U57" s="62">
        <f t="shared" ref="U57" si="128">+U55/T55-1</f>
        <v>-0.31160082299010805</v>
      </c>
      <c r="V57" s="62">
        <f t="shared" ref="V57" si="129">+V55/U55-1</f>
        <v>-0.42179459767962635</v>
      </c>
      <c r="W57" s="190">
        <f t="shared" ref="W57:X57" si="130">+W55/V55-1</f>
        <v>-0.32658341898774312</v>
      </c>
      <c r="X57" s="190">
        <f t="shared" si="130"/>
        <v>-0.11588404095042371</v>
      </c>
      <c r="Y57" s="73"/>
      <c r="Z57" s="52"/>
    </row>
    <row r="58" spans="1:26" ht="15.75" thickBot="1" x14ac:dyDescent="0.3"/>
    <row r="59" spans="1:26" ht="15.75" thickBot="1" x14ac:dyDescent="0.3">
      <c r="A59" s="351" t="s">
        <v>54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55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32">+P60+1</f>
        <v>2018</v>
      </c>
      <c r="R60" s="64">
        <f t="shared" si="132"/>
        <v>2019</v>
      </c>
      <c r="S60" s="64">
        <f t="shared" si="132"/>
        <v>2020</v>
      </c>
      <c r="T60" s="64">
        <f t="shared" si="132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33">+SUM(C61)+SUM(B62:B72)</f>
        <v>3.9852229999999995</v>
      </c>
      <c r="Q61" s="6">
        <f t="shared" si="133"/>
        <v>3.7847039999999992</v>
      </c>
      <c r="R61" s="6">
        <f t="shared" si="133"/>
        <v>4.0251000000000001</v>
      </c>
      <c r="S61" s="6">
        <f t="shared" si="133"/>
        <v>6.5857000000000001</v>
      </c>
      <c r="T61" s="6">
        <f t="shared" si="133"/>
        <v>8.4357000000000006</v>
      </c>
      <c r="U61" s="6">
        <f t="shared" si="133"/>
        <v>5.3573999999999993</v>
      </c>
      <c r="V61" s="6">
        <f t="shared" si="133"/>
        <v>2.0381209999999998</v>
      </c>
      <c r="W61" s="67">
        <f t="shared" si="133"/>
        <v>1.4171000000000002</v>
      </c>
      <c r="X61" s="37">
        <f t="shared" si="133"/>
        <v>1.6525999999999998</v>
      </c>
      <c r="Y61" s="78">
        <f t="shared" ref="Y61:Y62" si="134">+X61/W61-1</f>
        <v>0.1661844612236254</v>
      </c>
      <c r="Z61" s="7">
        <f t="shared" ref="Z61:Z62" si="135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36">+SUM(C61:C62)+SUM(B63:B72)</f>
        <v>3.9852229999999995</v>
      </c>
      <c r="Q62" s="6">
        <f t="shared" si="136"/>
        <v>3.5391959999999996</v>
      </c>
      <c r="R62" s="6">
        <f t="shared" si="136"/>
        <v>4.3720999999999997</v>
      </c>
      <c r="S62" s="6">
        <f t="shared" si="136"/>
        <v>6.4277000000000006</v>
      </c>
      <c r="T62" s="6">
        <f t="shared" si="136"/>
        <v>8.414200000000001</v>
      </c>
      <c r="U62" s="6">
        <f t="shared" si="136"/>
        <v>5.1549999999999994</v>
      </c>
      <c r="V62" s="6">
        <f t="shared" si="136"/>
        <v>1.9509209999999999</v>
      </c>
      <c r="W62" s="67">
        <f t="shared" si="136"/>
        <v>1.4775000000000003</v>
      </c>
      <c r="X62" s="37">
        <f t="shared" si="136"/>
        <v>1.5782000000000003</v>
      </c>
      <c r="Y62" s="78">
        <f t="shared" si="134"/>
        <v>6.8155668358714117E-2</v>
      </c>
      <c r="Z62" s="7">
        <f t="shared" si="135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37">+SUM(C61:C63)+SUM(B64:B72)</f>
        <v>3.9852229999999995</v>
      </c>
      <c r="Q63" s="6">
        <f t="shared" si="137"/>
        <v>3.3065809999999995</v>
      </c>
      <c r="R63" s="6">
        <f t="shared" si="137"/>
        <v>4.6100000000000003</v>
      </c>
      <c r="S63" s="6">
        <f t="shared" si="137"/>
        <v>6.7017000000000007</v>
      </c>
      <c r="T63" s="6">
        <f t="shared" si="137"/>
        <v>8.4060999999999986</v>
      </c>
      <c r="U63" s="6">
        <f t="shared" si="137"/>
        <v>4.5834699999999993</v>
      </c>
      <c r="V63" s="6">
        <f t="shared" si="137"/>
        <v>2.0148509999999997</v>
      </c>
      <c r="W63" s="67">
        <f t="shared" si="137"/>
        <v>1.3985000000000001</v>
      </c>
      <c r="X63" s="37">
        <f t="shared" ref="X63" si="138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39">+SUM(C61:C64)+SUM(B65:B72)</f>
        <v>3.9852229999999995</v>
      </c>
      <c r="Q64" s="6">
        <f t="shared" si="139"/>
        <v>3.152107</v>
      </c>
      <c r="R64" s="6">
        <f t="shared" si="139"/>
        <v>5.1858000000000004</v>
      </c>
      <c r="S64" s="6">
        <f t="shared" si="139"/>
        <v>6.7457000000000003</v>
      </c>
      <c r="T64" s="6">
        <f t="shared" si="139"/>
        <v>8.3539999999999992</v>
      </c>
      <c r="U64" s="6">
        <f t="shared" si="139"/>
        <v>3.9785799999999996</v>
      </c>
      <c r="V64" s="6">
        <f t="shared" si="139"/>
        <v>1.977441</v>
      </c>
      <c r="W64" s="67">
        <f t="shared" si="139"/>
        <v>1.4006000000000003</v>
      </c>
      <c r="X64" s="37">
        <f t="shared" ref="X64" si="140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41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42">+SUM(C61:C65)+SUM(B66:B72)</f>
        <v>3.9852229999999995</v>
      </c>
      <c r="Q65" s="6">
        <f t="shared" si="142"/>
        <v>2.9629949999999998</v>
      </c>
      <c r="R65" s="6">
        <f t="shared" si="142"/>
        <v>5.6300000000000008</v>
      </c>
      <c r="S65" s="6">
        <f t="shared" si="142"/>
        <v>7.2048000000000005</v>
      </c>
      <c r="T65" s="6">
        <f t="shared" si="142"/>
        <v>7.7019000000000002</v>
      </c>
      <c r="U65" s="6">
        <f t="shared" si="142"/>
        <v>3.6313740000000001</v>
      </c>
      <c r="V65" s="6">
        <f t="shared" si="142"/>
        <v>2.0422469999999997</v>
      </c>
      <c r="W65" s="67">
        <f t="shared" si="142"/>
        <v>1.3800000000000001</v>
      </c>
      <c r="X65" s="37">
        <f t="shared" ref="X65" si="143">+SUM(K61:K65)+SUM(J66:J72)</f>
        <v>1.4774</v>
      </c>
      <c r="Y65" s="78">
        <f t="shared" ref="Y65:Y67" si="144">+X65/W65-1</f>
        <v>7.0579710144927477E-2</v>
      </c>
      <c r="Z65" s="7">
        <f t="shared" ref="Z65:Z67" si="145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41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46">+SUM(C61:C66)+SUM(B67:B72)</f>
        <v>3.9852230000000004</v>
      </c>
      <c r="Q66" s="6">
        <f t="shared" si="146"/>
        <v>2.8197090000000005</v>
      </c>
      <c r="R66" s="6">
        <f t="shared" si="146"/>
        <v>5.7018000000000004</v>
      </c>
      <c r="S66" s="6">
        <f t="shared" si="146"/>
        <v>7.3005000000000004</v>
      </c>
      <c r="T66" s="6">
        <f t="shared" si="146"/>
        <v>7.8496000000000006</v>
      </c>
      <c r="U66" s="6">
        <f t="shared" si="146"/>
        <v>3.348719</v>
      </c>
      <c r="V66" s="6">
        <f t="shared" si="146"/>
        <v>1.974202</v>
      </c>
      <c r="W66" s="67">
        <f t="shared" si="146"/>
        <v>1.3538000000000001</v>
      </c>
      <c r="X66" s="37">
        <f t="shared" ref="X66" si="147">+SUM(K61:K66)+SUM(J67:J72)</f>
        <v>1.5801000000000001</v>
      </c>
      <c r="Y66" s="78">
        <f t="shared" si="144"/>
        <v>0.16715910769685327</v>
      </c>
      <c r="Z66" s="7">
        <f t="shared" si="145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48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49">+SUM(C61:C67)+SUM(B68:B72)</f>
        <v>3.985223</v>
      </c>
      <c r="Q67" s="6">
        <f t="shared" si="149"/>
        <v>3.0738330000000005</v>
      </c>
      <c r="R67" s="6">
        <f t="shared" si="149"/>
        <v>5.6771000000000011</v>
      </c>
      <c r="S67" s="6">
        <f t="shared" si="149"/>
        <v>7.0601000000000003</v>
      </c>
      <c r="T67" s="6">
        <f t="shared" si="149"/>
        <v>8.2688999999999986</v>
      </c>
      <c r="U67" s="6">
        <f t="shared" si="149"/>
        <v>2.745228</v>
      </c>
      <c r="V67" s="6">
        <f t="shared" si="149"/>
        <v>1.9193929999999999</v>
      </c>
      <c r="W67" s="67">
        <f t="shared" si="149"/>
        <v>1.4073000000000002</v>
      </c>
      <c r="X67" s="37">
        <f t="shared" ref="X67" si="150">+SUM(K61:K67)+SUM(J68:J72)</f>
        <v>1.5535999999999999</v>
      </c>
      <c r="Y67" s="78">
        <f t="shared" si="144"/>
        <v>0.10395793363177686</v>
      </c>
      <c r="Z67" s="7">
        <f t="shared" si="145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/>
      <c r="L68" s="7"/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51">+SUM(C61:C68)+SUM(B69:B72)</f>
        <v>3.985223</v>
      </c>
      <c r="Q68" s="6">
        <f t="shared" si="151"/>
        <v>3.3939280000000003</v>
      </c>
      <c r="R68" s="6">
        <f t="shared" si="151"/>
        <v>5.3083000000000009</v>
      </c>
      <c r="S68" s="6">
        <f t="shared" si="151"/>
        <v>7.9806000000000008</v>
      </c>
      <c r="T68" s="6">
        <f t="shared" si="151"/>
        <v>7.4678000000000004</v>
      </c>
      <c r="U68" s="6">
        <f t="shared" si="151"/>
        <v>2.5839910000000001</v>
      </c>
      <c r="V68" s="6">
        <f t="shared" si="151"/>
        <v>1.7959299999999998</v>
      </c>
      <c r="W68" s="67">
        <f t="shared" si="151"/>
        <v>1.4102000000000001</v>
      </c>
      <c r="X68" s="37"/>
      <c r="Y68" s="78"/>
      <c r="Z68" s="7"/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/>
      <c r="L69" s="7"/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52">+SUM(C61:C69)+SUM(B70:B72)</f>
        <v>3.9852229999999995</v>
      </c>
      <c r="Q69" s="6">
        <f t="shared" si="152"/>
        <v>3.2608350000000002</v>
      </c>
      <c r="R69" s="6">
        <f t="shared" si="152"/>
        <v>5.3323000000000009</v>
      </c>
      <c r="S69" s="6">
        <f t="shared" si="152"/>
        <v>8.1928000000000001</v>
      </c>
      <c r="T69" s="6">
        <f t="shared" si="152"/>
        <v>7.3394000000000004</v>
      </c>
      <c r="U69" s="6">
        <f t="shared" si="152"/>
        <v>2.4318740000000001</v>
      </c>
      <c r="V69" s="6">
        <f t="shared" si="152"/>
        <v>1.7121469999999999</v>
      </c>
      <c r="W69" s="67">
        <f t="shared" si="152"/>
        <v>1.4668999999999999</v>
      </c>
      <c r="X69" s="37"/>
      <c r="Y69" s="78"/>
      <c r="Z69" s="7"/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/>
      <c r="L70" s="7"/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53">+SUM(C61:C70)+SUM(B71:B72)</f>
        <v>3.9852229999999995</v>
      </c>
      <c r="Q70" s="6">
        <f t="shared" si="153"/>
        <v>3.1435999999999997</v>
      </c>
      <c r="R70" s="6">
        <f t="shared" si="153"/>
        <v>5.6563000000000008</v>
      </c>
      <c r="S70" s="6">
        <f t="shared" si="153"/>
        <v>8.3922000000000008</v>
      </c>
      <c r="T70" s="6">
        <f t="shared" si="153"/>
        <v>6.8305000000000007</v>
      </c>
      <c r="U70" s="6">
        <f t="shared" si="153"/>
        <v>2.4956209999999999</v>
      </c>
      <c r="V70" s="6">
        <f t="shared" si="153"/>
        <v>1.5318999999999998</v>
      </c>
      <c r="W70" s="67">
        <f t="shared" si="153"/>
        <v>1.5501999999999998</v>
      </c>
      <c r="X70" s="37"/>
      <c r="Y70" s="78"/>
      <c r="Z70" s="7"/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54">+SUM(C61:C71)+SUM(B72)</f>
        <v>3.9852229999999995</v>
      </c>
      <c r="Q71" s="6">
        <f t="shared" si="154"/>
        <v>3.3700999999999999</v>
      </c>
      <c r="R71" s="6">
        <f t="shared" si="154"/>
        <v>5.6317000000000013</v>
      </c>
      <c r="S71" s="6">
        <f t="shared" si="154"/>
        <v>8.9735999999999994</v>
      </c>
      <c r="T71" s="6">
        <f t="shared" si="154"/>
        <v>6.3930000000000007</v>
      </c>
      <c r="U71" s="6">
        <f t="shared" si="154"/>
        <v>2.1456209999999998</v>
      </c>
      <c r="V71" s="6">
        <f t="shared" si="154"/>
        <v>1.5146999999999999</v>
      </c>
      <c r="W71" s="67">
        <f t="shared" si="154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55">+SUM(C61:C72)</f>
        <v>3.9852229999999995</v>
      </c>
      <c r="Q72" s="6">
        <f t="shared" si="155"/>
        <v>3.7263000000000002</v>
      </c>
      <c r="R72" s="6">
        <f t="shared" si="155"/>
        <v>6.2193000000000014</v>
      </c>
      <c r="S72" s="6">
        <f t="shared" si="155"/>
        <v>8.3954000000000004</v>
      </c>
      <c r="T72" s="6">
        <f t="shared" si="155"/>
        <v>6.0465999999999998</v>
      </c>
      <c r="U72" s="6">
        <f t="shared" si="155"/>
        <v>2.0799209999999997</v>
      </c>
      <c r="V72" s="6">
        <f t="shared" si="155"/>
        <v>1.4610000000000001</v>
      </c>
      <c r="W72" s="67">
        <f t="shared" si="155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56">SUM(C61:C72)</f>
        <v>3.9852229999999995</v>
      </c>
      <c r="D73" s="159">
        <f t="shared" si="156"/>
        <v>3.7263000000000002</v>
      </c>
      <c r="E73" s="159">
        <f t="shared" si="156"/>
        <v>6.2193000000000014</v>
      </c>
      <c r="F73" s="159">
        <f t="shared" si="156"/>
        <v>8.3954000000000004</v>
      </c>
      <c r="G73" s="159">
        <f t="shared" si="156"/>
        <v>6.0465999999999998</v>
      </c>
      <c r="H73" s="159">
        <f t="shared" ref="H73:I73" si="157">SUM(H61:H72)</f>
        <v>2.0799209999999997</v>
      </c>
      <c r="I73" s="159">
        <f t="shared" si="157"/>
        <v>1.4610000000000001</v>
      </c>
      <c r="J73" s="216">
        <f t="shared" ref="J73" si="158">SUM(J61:J72)</f>
        <v>1.6236999999999999</v>
      </c>
      <c r="K73" s="216"/>
      <c r="L73" s="56"/>
      <c r="M73" s="3"/>
      <c r="N73" s="43" t="s">
        <v>14</v>
      </c>
      <c r="O73" s="46">
        <f t="shared" ref="O73" si="159">+AVERAGE(O61:O72)</f>
        <v>4.2732703333333344</v>
      </c>
      <c r="P73" s="46">
        <f>+AVERAGE(P61:P72)</f>
        <v>3.9852229999999995</v>
      </c>
      <c r="Q73" s="46">
        <f t="shared" ref="Q73:W73" si="160">+AVERAGE(Q61:Q72)</f>
        <v>3.2944906666666665</v>
      </c>
      <c r="R73" s="46">
        <f t="shared" si="160"/>
        <v>5.2791500000000013</v>
      </c>
      <c r="S73" s="46">
        <f t="shared" si="160"/>
        <v>7.4967333333333341</v>
      </c>
      <c r="T73" s="46">
        <f t="shared" si="160"/>
        <v>7.6256416666666667</v>
      </c>
      <c r="U73" s="226">
        <f t="shared" si="160"/>
        <v>3.3780665833333328</v>
      </c>
      <c r="V73" s="226">
        <f t="shared" si="160"/>
        <v>1.8277377499999998</v>
      </c>
      <c r="W73" s="220">
        <f t="shared" si="160"/>
        <v>1.4594500000000001</v>
      </c>
      <c r="X73" s="220">
        <f t="shared" ref="X73" si="161">+AVERAGE(X61:X72)</f>
        <v>1.5656285714285716</v>
      </c>
      <c r="Y73" s="79">
        <f>+X73/W73-1</f>
        <v>7.2752455670678229E-2</v>
      </c>
      <c r="Z73" s="75">
        <f>+POWER(X73/S73,0.2)-1</f>
        <v>-0.26892263965971586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62">+C73/C$163</f>
        <v>2.0340657601927273E-2</v>
      </c>
      <c r="D74" s="58">
        <f t="shared" ref="D74" si="163">+D73/D$163</f>
        <v>1.9224211269763723E-2</v>
      </c>
      <c r="E74" s="58">
        <f t="shared" ref="E74" si="164">+E73/E$163</f>
        <v>2.9264622429764069E-2</v>
      </c>
      <c r="F74" s="58">
        <f t="shared" ref="F74:G74" si="165">+F73/F$163</f>
        <v>3.2355332883707483E-2</v>
      </c>
      <c r="G74" s="58">
        <f t="shared" si="165"/>
        <v>2.2588321435108912E-2</v>
      </c>
      <c r="H74" s="58">
        <f t="shared" ref="H74:I74" si="166">+H73/H$163</f>
        <v>8.9976185686754164E-3</v>
      </c>
      <c r="I74" s="58">
        <f t="shared" si="166"/>
        <v>8.1033906117144745E-3</v>
      </c>
      <c r="J74" s="189">
        <f t="shared" ref="J74" si="167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68">+P73/P$163</f>
        <v>1.9334655881055748E-2</v>
      </c>
      <c r="Q74" s="48">
        <f t="shared" ref="Q74" si="169">+Q73/Q$163</f>
        <v>1.718551396260673E-2</v>
      </c>
      <c r="R74" s="48">
        <f t="shared" ref="R74" si="170">+R73/R$163</f>
        <v>2.5707565957361511E-2</v>
      </c>
      <c r="S74" s="48">
        <f t="shared" ref="S74:W74" si="171">+S73/S$163</f>
        <v>3.1743991851930338E-2</v>
      </c>
      <c r="T74" s="48">
        <f t="shared" si="171"/>
        <v>2.8691021318801788E-2</v>
      </c>
      <c r="U74" s="58">
        <f t="shared" si="171"/>
        <v>1.334583575397975E-2</v>
      </c>
      <c r="V74" s="58">
        <f t="shared" si="171"/>
        <v>9.1146143949537295E-3</v>
      </c>
      <c r="W74" s="189">
        <f t="shared" si="171"/>
        <v>8.1357725506799473E-3</v>
      </c>
      <c r="X74" s="189">
        <f t="shared" ref="X74" si="172">+X73/X$163</f>
        <v>8.7613863286590335E-3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173">+D73/C73-1</f>
        <v>-6.4970768260646738E-2</v>
      </c>
      <c r="E75" s="62">
        <f t="shared" si="173"/>
        <v>0.66902825859431636</v>
      </c>
      <c r="F75" s="62">
        <f t="shared" si="173"/>
        <v>0.3498946826813305</v>
      </c>
      <c r="G75" s="62">
        <f t="shared" si="173"/>
        <v>-0.27977225623555768</v>
      </c>
      <c r="H75" s="62">
        <f t="shared" si="173"/>
        <v>-0.65601809281248968</v>
      </c>
      <c r="I75" s="62">
        <f t="shared" si="173"/>
        <v>-0.29756947499448283</v>
      </c>
      <c r="J75" s="190">
        <f t="shared" si="173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174">+Q73/P73-1</f>
        <v>-0.17332338324187457</v>
      </c>
      <c r="R75" s="50">
        <f t="shared" si="174"/>
        <v>0.60241765242012169</v>
      </c>
      <c r="S75" s="50">
        <f t="shared" si="174"/>
        <v>0.42006446744898929</v>
      </c>
      <c r="T75" s="50">
        <f t="shared" ref="T75" si="175">+T73/S73-1</f>
        <v>1.7195267271967296E-2</v>
      </c>
      <c r="U75" s="62">
        <f t="shared" ref="U75" si="176">+U73/T73-1</f>
        <v>-0.55701215307564289</v>
      </c>
      <c r="V75" s="62">
        <f t="shared" ref="V75" si="177">+V73/U73-1</f>
        <v>-0.45893969082265229</v>
      </c>
      <c r="W75" s="190">
        <f t="shared" ref="W75:X75" si="178">+W73/V73-1</f>
        <v>-0.20149923040107898</v>
      </c>
      <c r="X75" s="190">
        <f t="shared" si="178"/>
        <v>7.2752455670678229E-2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56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57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179">+C78+1</f>
        <v>2018</v>
      </c>
      <c r="E78" s="39">
        <f t="shared" si="179"/>
        <v>2019</v>
      </c>
      <c r="F78" s="39">
        <f t="shared" si="179"/>
        <v>2020</v>
      </c>
      <c r="G78" s="39">
        <f t="shared" si="179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180">+P78+1</f>
        <v>2018</v>
      </c>
      <c r="R78" s="64">
        <f t="shared" si="180"/>
        <v>2019</v>
      </c>
      <c r="S78" s="64">
        <f t="shared" si="180"/>
        <v>2020</v>
      </c>
      <c r="T78" s="64">
        <f t="shared" si="180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181">+SUM(C79)+SUM(B80:B90)</f>
        <v>3.7664409999999999</v>
      </c>
      <c r="Q79" s="6">
        <f t="shared" si="181"/>
        <v>3.4178000000000002</v>
      </c>
      <c r="R79" s="6">
        <f t="shared" si="181"/>
        <v>3.5640000000000001</v>
      </c>
      <c r="S79" s="6">
        <f t="shared" si="181"/>
        <v>3.3391000000000002</v>
      </c>
      <c r="T79" s="6">
        <f t="shared" si="181"/>
        <v>3.4744999999999999</v>
      </c>
      <c r="U79" s="6">
        <f t="shared" si="181"/>
        <v>4.1128</v>
      </c>
      <c r="V79" s="6">
        <f t="shared" si="181"/>
        <v>4.5341715000000002</v>
      </c>
      <c r="W79" s="67">
        <f t="shared" si="181"/>
        <v>3.1153</v>
      </c>
      <c r="X79" s="37">
        <f t="shared" si="181"/>
        <v>2.8807</v>
      </c>
      <c r="Y79" s="78">
        <f t="shared" ref="Y79:Y80" si="182">+X79/W79-1</f>
        <v>-7.530574904503573E-2</v>
      </c>
      <c r="Z79" s="7">
        <f t="shared" ref="Z79:Z80" si="183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184">+SUM(C79:C80)+SUM(B81:B90)</f>
        <v>3.6515369999999998</v>
      </c>
      <c r="Q80" s="6">
        <f t="shared" si="184"/>
        <v>3.4885000000000002</v>
      </c>
      <c r="R80" s="6">
        <f t="shared" si="184"/>
        <v>3.5672999999999999</v>
      </c>
      <c r="S80" s="6">
        <f t="shared" si="184"/>
        <v>3.3449999999999998</v>
      </c>
      <c r="T80" s="6">
        <f t="shared" si="184"/>
        <v>3.4684999999999997</v>
      </c>
      <c r="U80" s="6">
        <f t="shared" si="184"/>
        <v>4.2285000000000004</v>
      </c>
      <c r="V80" s="6">
        <f t="shared" si="184"/>
        <v>4.4385715000000001</v>
      </c>
      <c r="W80" s="67">
        <f t="shared" si="184"/>
        <v>3.1593</v>
      </c>
      <c r="X80" s="37">
        <f t="shared" si="184"/>
        <v>2.7755999999999998</v>
      </c>
      <c r="Y80" s="78">
        <f t="shared" si="182"/>
        <v>-0.12145095432532527</v>
      </c>
      <c r="Z80" s="7">
        <f t="shared" si="183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185">+SUM(C79:C81)+SUM(B82:B90)</f>
        <v>3.630871</v>
      </c>
      <c r="Q81" s="6">
        <f t="shared" si="185"/>
        <v>3.4964</v>
      </c>
      <c r="R81" s="6">
        <f t="shared" si="185"/>
        <v>3.6815999999999995</v>
      </c>
      <c r="S81" s="6">
        <f t="shared" si="185"/>
        <v>3.2159999999999997</v>
      </c>
      <c r="T81" s="6">
        <f t="shared" si="185"/>
        <v>3.5206999999999997</v>
      </c>
      <c r="U81" s="6">
        <f t="shared" si="185"/>
        <v>4.3283100000000001</v>
      </c>
      <c r="V81" s="6">
        <f t="shared" si="185"/>
        <v>4.3861615</v>
      </c>
      <c r="W81" s="67">
        <f t="shared" si="185"/>
        <v>3.0770999999999997</v>
      </c>
      <c r="X81" s="37">
        <f t="shared" ref="X81" si="186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187">+SUM(C79:C82)+SUM(B83:B90)</f>
        <v>3.5307720000000002</v>
      </c>
      <c r="Q82" s="6">
        <f t="shared" si="187"/>
        <v>3.5133999999999999</v>
      </c>
      <c r="R82" s="6">
        <f t="shared" si="187"/>
        <v>3.6462000000000003</v>
      </c>
      <c r="S82" s="6">
        <f t="shared" si="187"/>
        <v>3.2885</v>
      </c>
      <c r="T82" s="6">
        <f t="shared" si="187"/>
        <v>3.4920000000000004</v>
      </c>
      <c r="U82" s="6">
        <f t="shared" si="187"/>
        <v>4.4861795000000004</v>
      </c>
      <c r="V82" s="6">
        <f t="shared" si="187"/>
        <v>4.1495920000000002</v>
      </c>
      <c r="W82" s="67">
        <f t="shared" si="187"/>
        <v>3.1101999999999999</v>
      </c>
      <c r="X82" s="37">
        <f t="shared" ref="X82" si="188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189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190">+SUM(C79:C83)+SUM(B84:B90)</f>
        <v>3.6274579999999998</v>
      </c>
      <c r="Q83" s="6">
        <f t="shared" si="190"/>
        <v>3.3681000000000001</v>
      </c>
      <c r="R83" s="6">
        <f t="shared" si="190"/>
        <v>3.6307999999999998</v>
      </c>
      <c r="S83" s="6">
        <f t="shared" si="190"/>
        <v>3.3915999999999999</v>
      </c>
      <c r="T83" s="6">
        <f t="shared" si="190"/>
        <v>3.4322999999999997</v>
      </c>
      <c r="U83" s="6">
        <f t="shared" si="190"/>
        <v>4.5851185000000001</v>
      </c>
      <c r="V83" s="6">
        <f t="shared" si="190"/>
        <v>4.0167529999999996</v>
      </c>
      <c r="W83" s="67">
        <f t="shared" si="190"/>
        <v>3.0544000000000002</v>
      </c>
      <c r="X83" s="37">
        <f t="shared" ref="X83" si="191">+SUM(K79:K83)+SUM(J84:J90)</f>
        <v>2.6581000000000001</v>
      </c>
      <c r="Y83" s="78">
        <f t="shared" ref="Y83:Y85" si="192">+X83/W83-1</f>
        <v>-0.1297472498690414</v>
      </c>
      <c r="Z83" s="7">
        <f t="shared" ref="Z83:Z85" si="193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189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194">+SUM(C79:C84)+SUM(B85:B90)</f>
        <v>3.5237530000000001</v>
      </c>
      <c r="Q84" s="6">
        <f t="shared" si="194"/>
        <v>3.4106000000000001</v>
      </c>
      <c r="R84" s="6">
        <f t="shared" si="194"/>
        <v>3.5874000000000001</v>
      </c>
      <c r="S84" s="6">
        <f t="shared" si="194"/>
        <v>3.3781999999999996</v>
      </c>
      <c r="T84" s="6">
        <f t="shared" si="194"/>
        <v>3.6429</v>
      </c>
      <c r="U84" s="6">
        <f t="shared" si="194"/>
        <v>4.6543475000000001</v>
      </c>
      <c r="V84" s="6">
        <f t="shared" si="194"/>
        <v>3.7651240000000001</v>
      </c>
      <c r="W84" s="67">
        <f t="shared" si="194"/>
        <v>2.9888000000000003</v>
      </c>
      <c r="X84" s="37">
        <f t="shared" ref="X84" si="195">+SUM(K79:K84)+SUM(J85:J90)</f>
        <v>2.6412</v>
      </c>
      <c r="Y84" s="78">
        <f t="shared" si="192"/>
        <v>-0.11630085653104938</v>
      </c>
      <c r="Z84" s="7">
        <f t="shared" si="193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196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197">+SUM(C79:C85)+SUM(B86:B90)</f>
        <v>3.6615969999999995</v>
      </c>
      <c r="Q85" s="6">
        <f t="shared" si="197"/>
        <v>3.5990000000000002</v>
      </c>
      <c r="R85" s="6">
        <f t="shared" si="197"/>
        <v>3.2676999999999996</v>
      </c>
      <c r="S85" s="6">
        <f t="shared" si="197"/>
        <v>3.4237000000000002</v>
      </c>
      <c r="T85" s="6">
        <f t="shared" si="197"/>
        <v>3.7654000000000001</v>
      </c>
      <c r="U85" s="6">
        <f t="shared" si="197"/>
        <v>4.5645885000000002</v>
      </c>
      <c r="V85" s="6">
        <f t="shared" si="197"/>
        <v>3.652183</v>
      </c>
      <c r="W85" s="67">
        <f t="shared" si="197"/>
        <v>3.0238000000000005</v>
      </c>
      <c r="X85" s="37">
        <f t="shared" ref="X85" si="198">+SUM(K79:K85)+SUM(J86:J90)</f>
        <v>2.5722999999999998</v>
      </c>
      <c r="Y85" s="78">
        <f t="shared" si="192"/>
        <v>-0.1493154309147432</v>
      </c>
      <c r="Z85" s="7">
        <f t="shared" si="193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/>
      <c r="L86" s="7"/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199">+SUM(C79:C86)+SUM(B87:B90)</f>
        <v>3.5896949999999999</v>
      </c>
      <c r="Q86" s="6">
        <f t="shared" si="199"/>
        <v>3.4450000000000003</v>
      </c>
      <c r="R86" s="6">
        <f t="shared" si="199"/>
        <v>3.2652000000000001</v>
      </c>
      <c r="S86" s="6">
        <f t="shared" si="199"/>
        <v>3.5832999999999999</v>
      </c>
      <c r="T86" s="6">
        <f t="shared" si="199"/>
        <v>3.6037000000000003</v>
      </c>
      <c r="U86" s="6">
        <f t="shared" si="199"/>
        <v>4.7542805000000001</v>
      </c>
      <c r="V86" s="6">
        <f t="shared" si="199"/>
        <v>3.4244909999999997</v>
      </c>
      <c r="W86" s="67">
        <f t="shared" si="199"/>
        <v>2.9828000000000001</v>
      </c>
      <c r="X86" s="37"/>
      <c r="Y86" s="78"/>
      <c r="Z86" s="7"/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/>
      <c r="L87" s="7"/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00">+SUM(C79:C87)+SUM(B88:B90)</f>
        <v>3.5717049999999997</v>
      </c>
      <c r="Q87" s="6">
        <f t="shared" si="200"/>
        <v>3.4872000000000001</v>
      </c>
      <c r="R87" s="6">
        <f t="shared" si="200"/>
        <v>3.2286999999999999</v>
      </c>
      <c r="S87" s="6">
        <f t="shared" si="200"/>
        <v>3.6800999999999999</v>
      </c>
      <c r="T87" s="6">
        <f t="shared" si="200"/>
        <v>3.6798999999999999</v>
      </c>
      <c r="U87" s="6">
        <f t="shared" si="200"/>
        <v>4.7891385</v>
      </c>
      <c r="V87" s="6">
        <f t="shared" si="200"/>
        <v>3.1904330000000001</v>
      </c>
      <c r="W87" s="67">
        <f t="shared" si="200"/>
        <v>3.1059000000000001</v>
      </c>
      <c r="X87" s="37"/>
      <c r="Y87" s="78"/>
      <c r="Z87" s="7"/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/>
      <c r="L88" s="7"/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01">+SUM(C79:C88)+SUM(B89:B90)</f>
        <v>3.5446</v>
      </c>
      <c r="Q88" s="6">
        <f t="shared" si="201"/>
        <v>3.5146000000000002</v>
      </c>
      <c r="R88" s="6">
        <f t="shared" si="201"/>
        <v>3.2591999999999999</v>
      </c>
      <c r="S88" s="6">
        <f t="shared" si="201"/>
        <v>3.6339999999999999</v>
      </c>
      <c r="T88" s="6">
        <f t="shared" si="201"/>
        <v>3.7151000000000001</v>
      </c>
      <c r="U88" s="6">
        <f t="shared" si="201"/>
        <v>4.7942715000000007</v>
      </c>
      <c r="V88" s="6">
        <f t="shared" si="201"/>
        <v>3.1012000000000004</v>
      </c>
      <c r="W88" s="67">
        <f t="shared" si="201"/>
        <v>3.1495000000000006</v>
      </c>
      <c r="X88" s="37"/>
      <c r="Y88" s="78"/>
      <c r="Z88" s="7"/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202">+SUM(C79:C89)+SUM(B90)</f>
        <v>3.5903999999999998</v>
      </c>
      <c r="Q89" s="6">
        <f t="shared" si="202"/>
        <v>3.5212000000000003</v>
      </c>
      <c r="R89" s="6">
        <f t="shared" si="202"/>
        <v>3.2185999999999999</v>
      </c>
      <c r="S89" s="6">
        <f t="shared" si="202"/>
        <v>3.6400999999999999</v>
      </c>
      <c r="T89" s="6">
        <f t="shared" si="202"/>
        <v>3.8563999999999998</v>
      </c>
      <c r="U89" s="6">
        <f t="shared" si="202"/>
        <v>4.6969715000000001</v>
      </c>
      <c r="V89" s="6">
        <f t="shared" si="202"/>
        <v>3.0896000000000003</v>
      </c>
      <c r="W89" s="67">
        <f t="shared" si="202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03">+SUM(C79:C90)</f>
        <v>3.5324</v>
      </c>
      <c r="Q90" s="6">
        <f t="shared" si="203"/>
        <v>3.5169000000000001</v>
      </c>
      <c r="R90" s="6">
        <f t="shared" si="203"/>
        <v>3.3077999999999999</v>
      </c>
      <c r="S90" s="6">
        <f t="shared" si="203"/>
        <v>3.5053999999999998</v>
      </c>
      <c r="T90" s="6">
        <f t="shared" si="203"/>
        <v>4.1147</v>
      </c>
      <c r="U90" s="6">
        <f t="shared" si="203"/>
        <v>4.5083715</v>
      </c>
      <c r="V90" s="6">
        <f t="shared" si="203"/>
        <v>3.1328000000000005</v>
      </c>
      <c r="W90" s="67">
        <f t="shared" si="203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04">SUM(G79:G90)</f>
        <v>4.1147</v>
      </c>
      <c r="H91" s="159">
        <f t="shared" ref="H91" si="205">SUM(H79:H90)</f>
        <v>4.5083715</v>
      </c>
      <c r="I91" s="159">
        <f t="shared" ref="I91:J91" si="206">SUM(I79:I90)</f>
        <v>3.1328000000000005</v>
      </c>
      <c r="J91" s="216">
        <f t="shared" si="206"/>
        <v>2.9517000000000002</v>
      </c>
      <c r="K91" s="216"/>
      <c r="L91" s="56"/>
      <c r="M91" s="3"/>
      <c r="N91" s="43" t="s">
        <v>14</v>
      </c>
      <c r="O91" s="46">
        <f t="shared" ref="O91:W91" si="207">+AVERAGE(O79:O90)</f>
        <v>3.677502333333333</v>
      </c>
      <c r="P91" s="46">
        <f t="shared" si="207"/>
        <v>3.601769083333334</v>
      </c>
      <c r="Q91" s="46">
        <f t="shared" si="207"/>
        <v>3.4815583333333335</v>
      </c>
      <c r="R91" s="46">
        <f t="shared" si="207"/>
        <v>3.4353750000000001</v>
      </c>
      <c r="S91" s="46">
        <f t="shared" si="207"/>
        <v>3.4520833333333329</v>
      </c>
      <c r="T91" s="46">
        <f t="shared" si="207"/>
        <v>3.6471749999999994</v>
      </c>
      <c r="U91" s="226">
        <f t="shared" si="207"/>
        <v>4.541906458333334</v>
      </c>
      <c r="V91" s="226">
        <f t="shared" si="207"/>
        <v>3.7400900416666665</v>
      </c>
      <c r="W91" s="220">
        <f t="shared" si="207"/>
        <v>3.0616833333333342</v>
      </c>
      <c r="X91" s="220">
        <f t="shared" ref="X91" si="208">+AVERAGE(X79:X90)</f>
        <v>2.6906857142857143</v>
      </c>
      <c r="Y91" s="79">
        <f>+X91/W91-1</f>
        <v>-0.12117439286044818</v>
      </c>
      <c r="Z91" s="75">
        <f>+POWER(X91/S91,0.2)-1</f>
        <v>-4.8614911194731047E-2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09">+C91/C$163</f>
        <v>1.802943998693371E-2</v>
      </c>
      <c r="D92" s="58">
        <f t="shared" ref="D92" si="210">+D91/D$163</f>
        <v>1.8143903769055642E-2</v>
      </c>
      <c r="E92" s="58">
        <f t="shared" ref="E92" si="211">+E91/E$163</f>
        <v>1.5564696681808814E-2</v>
      </c>
      <c r="F92" s="58">
        <f t="shared" ref="F92:G92" si="212">+F91/F$163</f>
        <v>1.3509586665382019E-2</v>
      </c>
      <c r="G92" s="58">
        <f t="shared" si="212"/>
        <v>1.5371310523110946E-2</v>
      </c>
      <c r="H92" s="58">
        <f t="shared" ref="H92" si="213">+H91/H$163</f>
        <v>1.9502955700186231E-2</v>
      </c>
      <c r="I92" s="58">
        <f t="shared" ref="I92:J92" si="214">+I91/I$163</f>
        <v>1.7375976802449764E-2</v>
      </c>
      <c r="J92" s="189">
        <f t="shared" si="214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15">+P91/P$163</f>
        <v>1.747429586481751E-2</v>
      </c>
      <c r="Q92" s="48">
        <f t="shared" ref="Q92" si="216">+Q91/Q$163</f>
        <v>1.8161341282434903E-2</v>
      </c>
      <c r="R92" s="48">
        <f t="shared" ref="R92" si="217">+R91/R$163</f>
        <v>1.672904338781258E-2</v>
      </c>
      <c r="S92" s="48">
        <f t="shared" ref="S92:W92" si="218">+S91/S$163</f>
        <v>1.4617420726207572E-2</v>
      </c>
      <c r="T92" s="48">
        <f t="shared" si="218"/>
        <v>1.3722278104911508E-2</v>
      </c>
      <c r="U92" s="58">
        <f t="shared" si="218"/>
        <v>1.7943855192766422E-2</v>
      </c>
      <c r="V92" s="58">
        <f t="shared" si="218"/>
        <v>1.8651186983580162E-2</v>
      </c>
      <c r="W92" s="189">
        <f t="shared" si="218"/>
        <v>1.7067497497144556E-2</v>
      </c>
      <c r="X92" s="189">
        <f t="shared" ref="X92" si="219">+X91/X$163</f>
        <v>1.5057298686335673E-2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20">+D91/C91-1</f>
        <v>-4.3879515343675513E-3</v>
      </c>
      <c r="E93" s="62">
        <f t="shared" si="220"/>
        <v>-5.9455770707156907E-2</v>
      </c>
      <c r="F93" s="62">
        <f t="shared" si="220"/>
        <v>5.9737589938932301E-2</v>
      </c>
      <c r="G93" s="62">
        <f t="shared" si="220"/>
        <v>0.17381753865464722</v>
      </c>
      <c r="H93" s="62">
        <f t="shared" si="220"/>
        <v>9.5674411257199887E-2</v>
      </c>
      <c r="I93" s="62">
        <f t="shared" si="220"/>
        <v>-0.30511494006205997</v>
      </c>
      <c r="J93" s="190">
        <f t="shared" si="220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21">+Q91/P91-1</f>
        <v>-3.337547389038853E-2</v>
      </c>
      <c r="R93" s="50">
        <f t="shared" si="221"/>
        <v>-1.326513271116625E-2</v>
      </c>
      <c r="S93" s="50">
        <f t="shared" si="221"/>
        <v>4.8636126575214433E-3</v>
      </c>
      <c r="T93" s="50">
        <f t="shared" ref="T93" si="222">+T91/S91-1</f>
        <v>5.651418225709115E-2</v>
      </c>
      <c r="U93" s="62">
        <f t="shared" ref="U93" si="223">+U91/T91-1</f>
        <v>0.24532177872828553</v>
      </c>
      <c r="V93" s="62">
        <f t="shared" ref="V93" si="224">+V91/U91-1</f>
        <v>-0.17653741309346482</v>
      </c>
      <c r="W93" s="190">
        <f t="shared" ref="W93:X93" si="225">+W91/V91-1</f>
        <v>-0.1813878010356722</v>
      </c>
      <c r="X93" s="190">
        <f t="shared" si="225"/>
        <v>-0.12117439286044818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58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59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26">+C96+1</f>
        <v>2018</v>
      </c>
      <c r="E96" s="39">
        <f t="shared" si="226"/>
        <v>2019</v>
      </c>
      <c r="F96" s="39">
        <f t="shared" si="226"/>
        <v>2020</v>
      </c>
      <c r="G96" s="39">
        <f t="shared" si="226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27">+P96+1</f>
        <v>2018</v>
      </c>
      <c r="R96" s="64">
        <f t="shared" si="227"/>
        <v>2019</v>
      </c>
      <c r="S96" s="64">
        <f t="shared" si="227"/>
        <v>2020</v>
      </c>
      <c r="T96" s="64">
        <f t="shared" si="227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28">+SUM(C97)+SUM(B98:B108)</f>
        <v>11.546635</v>
      </c>
      <c r="Q97" s="6">
        <f t="shared" si="228"/>
        <v>10.104199999999997</v>
      </c>
      <c r="R97" s="6">
        <f t="shared" si="228"/>
        <v>9.7772000000000006</v>
      </c>
      <c r="S97" s="6">
        <f t="shared" si="228"/>
        <v>12.411900000000001</v>
      </c>
      <c r="T97" s="6">
        <f t="shared" si="228"/>
        <v>16.277899999999995</v>
      </c>
      <c r="U97" s="6">
        <f t="shared" si="228"/>
        <v>18.5413</v>
      </c>
      <c r="V97" s="6">
        <f t="shared" si="228"/>
        <v>15.016682999999999</v>
      </c>
      <c r="W97" s="67">
        <f t="shared" si="228"/>
        <v>8.8405000000000005</v>
      </c>
      <c r="X97" s="37">
        <f t="shared" si="228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29">+SUM(C97:C98)+SUM(B99:B108)</f>
        <v>11.324240000000001</v>
      </c>
      <c r="Q98" s="6">
        <f t="shared" si="229"/>
        <v>10.289699999999998</v>
      </c>
      <c r="R98" s="6">
        <f t="shared" si="229"/>
        <v>9.7774999999999999</v>
      </c>
      <c r="S98" s="6">
        <f t="shared" si="229"/>
        <v>12.784400000000002</v>
      </c>
      <c r="T98" s="6">
        <f t="shared" si="229"/>
        <v>16.297499999999999</v>
      </c>
      <c r="U98" s="6">
        <f t="shared" si="229"/>
        <v>19.314399999999996</v>
      </c>
      <c r="V98" s="6">
        <f t="shared" si="229"/>
        <v>13.653383</v>
      </c>
      <c r="W98" s="67">
        <f t="shared" si="229"/>
        <v>8.9904000000000011</v>
      </c>
      <c r="X98" s="37">
        <f t="shared" si="229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30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31">+SUM(C97:C99)+SUM(B100:B108)</f>
        <v>11.287106999999999</v>
      </c>
      <c r="Q99" s="6">
        <f t="shared" si="231"/>
        <v>10.178699999999999</v>
      </c>
      <c r="R99" s="6">
        <f t="shared" si="231"/>
        <v>9.795300000000001</v>
      </c>
      <c r="S99" s="6">
        <f t="shared" si="231"/>
        <v>12.875900000000001</v>
      </c>
      <c r="T99" s="6">
        <f t="shared" si="231"/>
        <v>16.677599999999998</v>
      </c>
      <c r="U99" s="6">
        <f t="shared" si="231"/>
        <v>19.48959</v>
      </c>
      <c r="V99" s="6">
        <f t="shared" si="231"/>
        <v>13.001493</v>
      </c>
      <c r="W99" s="67">
        <f t="shared" si="231"/>
        <v>8.677999999999999</v>
      </c>
      <c r="X99" s="37">
        <f t="shared" ref="X99" si="232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30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33">+SUM(C97:C100)+SUM(B101:B108)</f>
        <v>10.827679</v>
      </c>
      <c r="Q100" s="6">
        <f t="shared" si="233"/>
        <v>10.1335</v>
      </c>
      <c r="R100" s="6">
        <f t="shared" si="233"/>
        <v>10.0251</v>
      </c>
      <c r="S100" s="6">
        <f t="shared" si="233"/>
        <v>13.6373</v>
      </c>
      <c r="T100" s="6">
        <f t="shared" si="233"/>
        <v>16.2959</v>
      </c>
      <c r="U100" s="6">
        <f t="shared" si="233"/>
        <v>20.291579999999996</v>
      </c>
      <c r="V100" s="6">
        <f t="shared" si="233"/>
        <v>11.639803000000001</v>
      </c>
      <c r="W100" s="67">
        <f t="shared" si="233"/>
        <v>8.545399999999999</v>
      </c>
      <c r="X100" s="37">
        <f t="shared" ref="X100" si="234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35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36">+SUM(C97:C101)+SUM(B102:B108)</f>
        <v>10.81359</v>
      </c>
      <c r="Q101" s="6">
        <f t="shared" si="236"/>
        <v>10.0314</v>
      </c>
      <c r="R101" s="6">
        <f t="shared" si="236"/>
        <v>10.1981</v>
      </c>
      <c r="S101" s="6">
        <f t="shared" si="236"/>
        <v>14.024600000000001</v>
      </c>
      <c r="T101" s="6">
        <f t="shared" si="236"/>
        <v>17.029799999999998</v>
      </c>
      <c r="U101" s="6">
        <f t="shared" si="236"/>
        <v>19.170984999999998</v>
      </c>
      <c r="V101" s="6">
        <f t="shared" si="236"/>
        <v>11.416998</v>
      </c>
      <c r="W101" s="67">
        <f t="shared" si="236"/>
        <v>8.5944000000000003</v>
      </c>
      <c r="X101" s="37">
        <f t="shared" ref="X101" si="237">+SUM(K97:K101)+SUM(J102:J108)</f>
        <v>9.8818000000000001</v>
      </c>
      <c r="Y101" s="78">
        <f t="shared" ref="Y101:Y103" si="238">+X101/W101-1</f>
        <v>0.14979521548915575</v>
      </c>
      <c r="Z101" s="7">
        <f t="shared" ref="Z101:Z103" si="239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35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40">+SUM(C97:C102)+SUM(B103:B108)</f>
        <v>11.024520000000001</v>
      </c>
      <c r="Q102" s="6">
        <f t="shared" si="240"/>
        <v>9.6277000000000008</v>
      </c>
      <c r="R102" s="6">
        <f t="shared" si="240"/>
        <v>10.1585</v>
      </c>
      <c r="S102" s="6">
        <f t="shared" si="240"/>
        <v>14.6853</v>
      </c>
      <c r="T102" s="6">
        <f t="shared" si="240"/>
        <v>17.329000000000001</v>
      </c>
      <c r="U102" s="6">
        <f t="shared" si="240"/>
        <v>19.223495999999997</v>
      </c>
      <c r="V102" s="6">
        <f t="shared" si="240"/>
        <v>10.401987</v>
      </c>
      <c r="W102" s="67">
        <f t="shared" si="240"/>
        <v>8.6385000000000005</v>
      </c>
      <c r="X102" s="37">
        <f t="shared" ref="X102" si="241">+SUM(K97:K102)+SUM(J103:J108)</f>
        <v>9.8428000000000004</v>
      </c>
      <c r="Y102" s="78">
        <f t="shared" si="238"/>
        <v>0.13941077733402785</v>
      </c>
      <c r="Z102" s="7">
        <f t="shared" si="239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42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43">+SUM(C97:C103)+SUM(B104:B108)</f>
        <v>10.97664</v>
      </c>
      <c r="Q103" s="6">
        <f t="shared" si="243"/>
        <v>9.7968000000000011</v>
      </c>
      <c r="R103" s="6">
        <f t="shared" si="243"/>
        <v>10.097899999999999</v>
      </c>
      <c r="S103" s="6">
        <f t="shared" si="243"/>
        <v>16.3645</v>
      </c>
      <c r="T103" s="6">
        <f t="shared" si="243"/>
        <v>16.3553</v>
      </c>
      <c r="U103" s="6">
        <f t="shared" si="243"/>
        <v>18.599724999999999</v>
      </c>
      <c r="V103" s="6">
        <f t="shared" si="243"/>
        <v>10.254358</v>
      </c>
      <c r="W103" s="67">
        <f t="shared" si="243"/>
        <v>8.8552999999999997</v>
      </c>
      <c r="X103" s="37">
        <f t="shared" ref="X103" si="244">+SUM(K97:K103)+SUM(J104:J108)</f>
        <v>9.5390000000000015</v>
      </c>
      <c r="Y103" s="78">
        <f t="shared" si="238"/>
        <v>7.7207999728976073E-2</v>
      </c>
      <c r="Z103" s="7">
        <f t="shared" si="239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/>
      <c r="L104" s="7"/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45">+SUM(C97:C104)+SUM(B105:B108)</f>
        <v>10.801902</v>
      </c>
      <c r="Q104" s="6">
        <f t="shared" si="245"/>
        <v>9.5527000000000015</v>
      </c>
      <c r="R104" s="6">
        <f t="shared" si="245"/>
        <v>10.5892</v>
      </c>
      <c r="S104" s="6">
        <f t="shared" si="245"/>
        <v>16.4861</v>
      </c>
      <c r="T104" s="6">
        <f t="shared" si="245"/>
        <v>16.289499999999997</v>
      </c>
      <c r="U104" s="6">
        <f t="shared" si="245"/>
        <v>18.494723</v>
      </c>
      <c r="V104" s="6">
        <f t="shared" si="245"/>
        <v>9.9456600000000002</v>
      </c>
      <c r="W104" s="67">
        <f t="shared" si="245"/>
        <v>8.7911000000000001</v>
      </c>
      <c r="X104" s="37"/>
      <c r="Y104" s="78"/>
      <c r="Z104" s="7"/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/>
      <c r="L105" s="7"/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46">+SUM(C97:C105)+SUM(B106:B108)</f>
        <v>10.633602</v>
      </c>
      <c r="Q105" s="6">
        <f t="shared" si="246"/>
        <v>9.6154000000000011</v>
      </c>
      <c r="R105" s="6">
        <f t="shared" si="246"/>
        <v>10.701000000000001</v>
      </c>
      <c r="S105" s="6">
        <f t="shared" si="246"/>
        <v>17.093799999999998</v>
      </c>
      <c r="T105" s="6">
        <f t="shared" si="246"/>
        <v>16.126899999999999</v>
      </c>
      <c r="U105" s="6">
        <f t="shared" si="246"/>
        <v>18.173196999999998</v>
      </c>
      <c r="V105" s="6">
        <f t="shared" si="246"/>
        <v>9.6958859999999998</v>
      </c>
      <c r="W105" s="67">
        <f t="shared" si="246"/>
        <v>8.8087</v>
      </c>
      <c r="X105" s="37"/>
      <c r="Y105" s="78"/>
      <c r="Z105" s="7"/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/>
      <c r="L106" s="7"/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47">+SUM(C97:C106)+SUM(B107:B108)</f>
        <v>10.452900000000001</v>
      </c>
      <c r="Q106" s="6">
        <f t="shared" si="247"/>
        <v>9.7460000000000004</v>
      </c>
      <c r="R106" s="6">
        <f t="shared" si="247"/>
        <v>10.864800000000001</v>
      </c>
      <c r="S106" s="6">
        <f t="shared" si="247"/>
        <v>17.069099999999999</v>
      </c>
      <c r="T106" s="6">
        <f t="shared" si="247"/>
        <v>16.427099999999999</v>
      </c>
      <c r="U106" s="6">
        <f t="shared" si="247"/>
        <v>17.686682999999999</v>
      </c>
      <c r="V106" s="6">
        <f t="shared" si="247"/>
        <v>9.5358999999999998</v>
      </c>
      <c r="W106" s="67">
        <f t="shared" si="247"/>
        <v>9.1215000000000011</v>
      </c>
      <c r="X106" s="37"/>
      <c r="Y106" s="78"/>
      <c r="Z106" s="7"/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48">+SUM(C97:C107)+SUM(B108)</f>
        <v>10.412500000000001</v>
      </c>
      <c r="Q107" s="6">
        <f t="shared" si="248"/>
        <v>9.6463000000000001</v>
      </c>
      <c r="R107" s="6">
        <f t="shared" si="248"/>
        <v>11.149800000000001</v>
      </c>
      <c r="S107" s="6">
        <f t="shared" si="248"/>
        <v>17.191799999999997</v>
      </c>
      <c r="T107" s="6">
        <f t="shared" si="248"/>
        <v>16.5624</v>
      </c>
      <c r="U107" s="6">
        <f t="shared" si="248"/>
        <v>17.389382999999999</v>
      </c>
      <c r="V107" s="6">
        <f t="shared" si="248"/>
        <v>9.3067999999999991</v>
      </c>
      <c r="W107" s="67">
        <f t="shared" si="248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49">+SUM(C97:C108)</f>
        <v>10.159000000000001</v>
      </c>
      <c r="Q108" s="6">
        <f t="shared" si="249"/>
        <v>9.6378000000000004</v>
      </c>
      <c r="R108" s="6">
        <f t="shared" si="249"/>
        <v>12.122900000000001</v>
      </c>
      <c r="S108" s="6">
        <f t="shared" si="249"/>
        <v>16.638099999999998</v>
      </c>
      <c r="T108" s="6">
        <f t="shared" si="249"/>
        <v>17.820899999999998</v>
      </c>
      <c r="U108" s="6">
        <f t="shared" si="249"/>
        <v>15.790282999999999</v>
      </c>
      <c r="V108" s="6">
        <f t="shared" si="249"/>
        <v>9.0814000000000004</v>
      </c>
      <c r="W108" s="67">
        <f t="shared" si="249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50">SUM(C97:C108)</f>
        <v>10.159000000000001</v>
      </c>
      <c r="D109" s="159">
        <f t="shared" ref="D109" si="251">SUM(D97:D108)</f>
        <v>9.6378000000000004</v>
      </c>
      <c r="E109" s="159">
        <f t="shared" ref="E109" si="252">SUM(E97:E108)</f>
        <v>12.122900000000001</v>
      </c>
      <c r="F109" s="159">
        <f t="shared" ref="F109:G109" si="253">SUM(F97:F108)</f>
        <v>16.638099999999998</v>
      </c>
      <c r="G109" s="159">
        <f t="shared" si="253"/>
        <v>17.820899999999998</v>
      </c>
      <c r="H109" s="159">
        <f t="shared" ref="H109:I109" si="254">SUM(H97:H108)</f>
        <v>15.790282999999999</v>
      </c>
      <c r="I109" s="159">
        <f t="shared" si="254"/>
        <v>9.0814000000000004</v>
      </c>
      <c r="J109" s="216">
        <f t="shared" ref="J109" si="255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56">+AVERAGE(Q97:Q108)</f>
        <v>9.8633499999999987</v>
      </c>
      <c r="R109" s="46">
        <f t="shared" si="256"/>
        <v>10.438108333333334</v>
      </c>
      <c r="S109" s="46">
        <f t="shared" si="256"/>
        <v>15.105233333333333</v>
      </c>
      <c r="T109" s="46">
        <f t="shared" si="256"/>
        <v>16.624149999999997</v>
      </c>
      <c r="U109" s="226">
        <f t="shared" si="256"/>
        <v>18.513778749999997</v>
      </c>
      <c r="V109" s="226">
        <f t="shared" si="256"/>
        <v>11.079195916666668</v>
      </c>
      <c r="W109" s="220">
        <f t="shared" si="256"/>
        <v>8.8676416666666658</v>
      </c>
      <c r="X109" s="220">
        <f t="shared" ref="X109" si="257">+AVERAGE(X97:X108)</f>
        <v>9.60337142857143</v>
      </c>
      <c r="Y109" s="79">
        <f>+X109/W109-1</f>
        <v>8.2967917464500385E-2</v>
      </c>
      <c r="Z109" s="75">
        <f>+POWER(X109/S109,0.2)-1</f>
        <v>-8.6603679841818715E-2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58">+C109/C$163</f>
        <v>5.1851738429186826E-2</v>
      </c>
      <c r="D110" s="58">
        <f t="shared" si="258"/>
        <v>4.9722003965254759E-2</v>
      </c>
      <c r="E110" s="58">
        <f t="shared" si="258"/>
        <v>5.7043733419160803E-2</v>
      </c>
      <c r="F110" s="58">
        <f t="shared" si="258"/>
        <v>6.4122169765873385E-2</v>
      </c>
      <c r="G110" s="58">
        <f t="shared" si="258"/>
        <v>6.6573647580943404E-2</v>
      </c>
      <c r="H110" s="58">
        <f t="shared" ref="H110:I110" si="259">+H109/H$163</f>
        <v>6.8307855695211389E-2</v>
      </c>
      <c r="I110" s="58">
        <f t="shared" si="259"/>
        <v>5.0369699863945121E-2</v>
      </c>
      <c r="J110" s="189">
        <f t="shared" ref="J110" si="260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261">+P109/P$163</f>
        <v>5.2664103645787719E-2</v>
      </c>
      <c r="Q110" s="48">
        <f t="shared" si="261"/>
        <v>5.1451576675608658E-2</v>
      </c>
      <c r="R110" s="48">
        <f t="shared" si="261"/>
        <v>5.0829841631560277E-2</v>
      </c>
      <c r="S110" s="48">
        <f t="shared" si="261"/>
        <v>6.3961245856618415E-2</v>
      </c>
      <c r="T110" s="48">
        <f t="shared" si="261"/>
        <v>6.2547371474569943E-2</v>
      </c>
      <c r="U110" s="58">
        <f t="shared" si="261"/>
        <v>7.3142978176353943E-2</v>
      </c>
      <c r="V110" s="58">
        <f t="shared" si="261"/>
        <v>5.5250048091725741E-2</v>
      </c>
      <c r="W110" s="189">
        <f t="shared" si="261"/>
        <v>4.9433084833966516E-2</v>
      </c>
      <c r="X110" s="189">
        <f t="shared" ref="X110" si="262">+X109/X$163</f>
        <v>5.3741256820924822E-2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263">+D109/C109-1</f>
        <v>-5.1304262230534525E-2</v>
      </c>
      <c r="E111" s="62">
        <f t="shared" si="263"/>
        <v>0.25784930170785869</v>
      </c>
      <c r="F111" s="62">
        <f t="shared" si="263"/>
        <v>0.37245213604005611</v>
      </c>
      <c r="G111" s="62">
        <f t="shared" si="263"/>
        <v>7.1089847999471045E-2</v>
      </c>
      <c r="H111" s="62">
        <f t="shared" si="263"/>
        <v>-0.11394581642902435</v>
      </c>
      <c r="I111" s="62">
        <f t="shared" si="263"/>
        <v>-0.42487414570087179</v>
      </c>
      <c r="J111" s="190">
        <f t="shared" si="263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264">+Q109/P109-1</f>
        <v>-9.1356411966300066E-2</v>
      </c>
      <c r="R111" s="50">
        <f t="shared" si="264"/>
        <v>5.827212187880737E-2</v>
      </c>
      <c r="S111" s="50">
        <f t="shared" si="264"/>
        <v>0.44712364069798705</v>
      </c>
      <c r="T111" s="50">
        <f t="shared" ref="T111" si="265">+T109/S109-1</f>
        <v>0.1005556573108215</v>
      </c>
      <c r="U111" s="62">
        <f t="shared" ref="U111" si="266">+U109/T109-1</f>
        <v>0.1136676912804564</v>
      </c>
      <c r="V111" s="62">
        <f t="shared" ref="V111" si="267">+V109/U109-1</f>
        <v>-0.40157025390256051</v>
      </c>
      <c r="W111" s="190">
        <f t="shared" ref="W111:X111" si="268">+W109/V109-1</f>
        <v>-0.19961324509778866</v>
      </c>
      <c r="X111" s="190">
        <f t="shared" si="268"/>
        <v>8.2967917464500385E-2</v>
      </c>
      <c r="Y111" s="73"/>
      <c r="Z111" s="52"/>
    </row>
    <row r="112" spans="1:26" ht="15.75" thickBot="1" x14ac:dyDescent="0.3"/>
    <row r="113" spans="1:26" ht="15.75" thickBot="1" x14ac:dyDescent="0.3">
      <c r="A113" s="351" t="s">
        <v>60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61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269">+C114+1</f>
        <v>2018</v>
      </c>
      <c r="E114" s="39">
        <f t="shared" si="269"/>
        <v>2019</v>
      </c>
      <c r="F114" s="39">
        <f t="shared" si="269"/>
        <v>2020</v>
      </c>
      <c r="G114" s="39">
        <f t="shared" si="269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270">+P114+1</f>
        <v>2018</v>
      </c>
      <c r="R114" s="64">
        <f t="shared" si="270"/>
        <v>2019</v>
      </c>
      <c r="S114" s="64">
        <f t="shared" si="270"/>
        <v>2020</v>
      </c>
      <c r="T114" s="64">
        <f t="shared" si="270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271">+SUM(C115)+SUM(B116:B126)</f>
        <v>6.5197460000000014</v>
      </c>
      <c r="Q115" s="6">
        <f t="shared" si="271"/>
        <v>5.9808000000000003</v>
      </c>
      <c r="R115" s="6">
        <f t="shared" si="271"/>
        <v>5.2837999999999994</v>
      </c>
      <c r="S115" s="6">
        <f t="shared" si="271"/>
        <v>5.6215000000000002</v>
      </c>
      <c r="T115" s="6">
        <f t="shared" si="271"/>
        <v>5.7895999999999992</v>
      </c>
      <c r="U115" s="6">
        <f t="shared" si="271"/>
        <v>6.1899999999999986</v>
      </c>
      <c r="V115" s="6">
        <f t="shared" si="271"/>
        <v>5.2256160000000005</v>
      </c>
      <c r="W115" s="67">
        <f t="shared" si="271"/>
        <v>3.4184999999999999</v>
      </c>
      <c r="X115" s="37">
        <f t="shared" si="271"/>
        <v>3.7822000000000005</v>
      </c>
      <c r="Y115" s="78">
        <f t="shared" ref="Y115:Y116" si="272">+X115/W115-1</f>
        <v>0.10639169226268841</v>
      </c>
      <c r="Z115" s="7">
        <f t="shared" ref="Z115:Z116" si="273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274">+SUM(C115:C116)+SUM(B117:B126)</f>
        <v>6.4140000000000006</v>
      </c>
      <c r="Q116" s="6">
        <f t="shared" si="274"/>
        <v>5.9</v>
      </c>
      <c r="R116" s="6">
        <f t="shared" si="274"/>
        <v>5.388300000000001</v>
      </c>
      <c r="S116" s="6">
        <f t="shared" si="274"/>
        <v>5.5564</v>
      </c>
      <c r="T116" s="6">
        <f t="shared" si="274"/>
        <v>5.8605</v>
      </c>
      <c r="U116" s="6">
        <f t="shared" si="274"/>
        <v>6.2419000000000002</v>
      </c>
      <c r="V116" s="6">
        <f t="shared" si="274"/>
        <v>4.9451159999999996</v>
      </c>
      <c r="W116" s="67">
        <f t="shared" si="274"/>
        <v>3.5161999999999995</v>
      </c>
      <c r="X116" s="37">
        <f t="shared" si="274"/>
        <v>3.7830000000000004</v>
      </c>
      <c r="Y116" s="78">
        <f t="shared" si="272"/>
        <v>7.587736761276398E-2</v>
      </c>
      <c r="Z116" s="7">
        <f t="shared" si="273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275">+SUM(C115:C117)+SUM(B118:B126)</f>
        <v>6.1794380000000002</v>
      </c>
      <c r="Q117" s="6">
        <f t="shared" si="275"/>
        <v>6.0499000000000001</v>
      </c>
      <c r="R117" s="6">
        <f t="shared" si="275"/>
        <v>5.3492999999999995</v>
      </c>
      <c r="S117" s="6">
        <f t="shared" si="275"/>
        <v>5.2818000000000005</v>
      </c>
      <c r="T117" s="6">
        <f t="shared" si="275"/>
        <v>6.1544999999999996</v>
      </c>
      <c r="U117" s="6">
        <f t="shared" si="275"/>
        <v>6.0459600000000009</v>
      </c>
      <c r="V117" s="6">
        <f t="shared" si="275"/>
        <v>4.8736560000000004</v>
      </c>
      <c r="W117" s="67">
        <f t="shared" si="275"/>
        <v>3.4874999999999998</v>
      </c>
      <c r="X117" s="37">
        <f t="shared" ref="X117" si="276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277">+SUM(C115:C118)+SUM(B119:B126)</f>
        <v>5.7320910000000005</v>
      </c>
      <c r="Q118" s="6">
        <f t="shared" si="277"/>
        <v>5.8639999999999999</v>
      </c>
      <c r="R118" s="6">
        <f t="shared" si="277"/>
        <v>5.4741999999999997</v>
      </c>
      <c r="S118" s="6">
        <f t="shared" si="277"/>
        <v>5.3124000000000002</v>
      </c>
      <c r="T118" s="6">
        <f t="shared" si="277"/>
        <v>5.8834999999999997</v>
      </c>
      <c r="U118" s="6">
        <f t="shared" si="277"/>
        <v>6.2636700000000012</v>
      </c>
      <c r="V118" s="6">
        <f t="shared" si="277"/>
        <v>4.588546</v>
      </c>
      <c r="W118" s="67">
        <f t="shared" si="277"/>
        <v>3.7319</v>
      </c>
      <c r="X118" s="37">
        <f t="shared" ref="X118" si="278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279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280">+SUM(C115:C119)+SUM(B120:B126)</f>
        <v>5.7204460000000008</v>
      </c>
      <c r="Q119" s="6">
        <f t="shared" si="280"/>
        <v>5.7969999999999988</v>
      </c>
      <c r="R119" s="6">
        <f t="shared" si="280"/>
        <v>5.5390999999999995</v>
      </c>
      <c r="S119" s="6">
        <f t="shared" si="280"/>
        <v>5.4055</v>
      </c>
      <c r="T119" s="6">
        <f t="shared" si="280"/>
        <v>5.8606999999999996</v>
      </c>
      <c r="U119" s="6">
        <f t="shared" si="280"/>
        <v>6.2869619999999999</v>
      </c>
      <c r="V119" s="6">
        <f t="shared" si="280"/>
        <v>4.407654</v>
      </c>
      <c r="W119" s="67">
        <f t="shared" si="280"/>
        <v>3.7696999999999998</v>
      </c>
      <c r="X119" s="37">
        <f t="shared" ref="X119" si="281">+SUM(K115:K119)+SUM(J120:J126)</f>
        <v>3.7645</v>
      </c>
      <c r="Y119" s="78">
        <f t="shared" ref="Y119:Y121" si="282">+X119/W119-1</f>
        <v>-1.3794201130062911E-3</v>
      </c>
      <c r="Z119" s="7">
        <f t="shared" ref="Z119:Z121" si="283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279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284">+SUM(C115:C120)+SUM(B121:B126)</f>
        <v>5.7195050000000007</v>
      </c>
      <c r="Q120" s="6">
        <f t="shared" si="284"/>
        <v>5.8381999999999996</v>
      </c>
      <c r="R120" s="6">
        <f t="shared" si="284"/>
        <v>5.4230999999999998</v>
      </c>
      <c r="S120" s="6">
        <f t="shared" si="284"/>
        <v>5.5296000000000003</v>
      </c>
      <c r="T120" s="6">
        <f t="shared" si="284"/>
        <v>5.9535</v>
      </c>
      <c r="U120" s="6">
        <f t="shared" si="284"/>
        <v>6.2777130000000003</v>
      </c>
      <c r="V120" s="6">
        <f t="shared" si="284"/>
        <v>4.1139029999999996</v>
      </c>
      <c r="W120" s="67">
        <f t="shared" si="284"/>
        <v>3.8517999999999999</v>
      </c>
      <c r="X120" s="37">
        <f t="shared" ref="X120" si="285">+SUM(K115:K120)+SUM(J121:J126)</f>
        <v>3.9018999999999999</v>
      </c>
      <c r="Y120" s="78">
        <f t="shared" si="282"/>
        <v>1.3006905862194218E-2</v>
      </c>
      <c r="Z120" s="7">
        <f t="shared" si="283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286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287">+SUM(C115:C121)+SUM(B122:B126)</f>
        <v>5.8174150000000004</v>
      </c>
      <c r="Q121" s="6">
        <f t="shared" si="287"/>
        <v>5.9305000000000003</v>
      </c>
      <c r="R121" s="6">
        <f t="shared" si="287"/>
        <v>5.3326000000000002</v>
      </c>
      <c r="S121" s="6">
        <f t="shared" si="287"/>
        <v>5.3894000000000002</v>
      </c>
      <c r="T121" s="6">
        <f t="shared" si="287"/>
        <v>6.0268999999999995</v>
      </c>
      <c r="U121" s="6">
        <f t="shared" si="287"/>
        <v>6.1646320000000001</v>
      </c>
      <c r="V121" s="6">
        <f t="shared" si="287"/>
        <v>4.0859839999999998</v>
      </c>
      <c r="W121" s="67">
        <f t="shared" si="287"/>
        <v>3.9581</v>
      </c>
      <c r="X121" s="37">
        <f t="shared" ref="X121" si="288">+SUM(K115:K121)+SUM(J122:J126)</f>
        <v>3.7983000000000002</v>
      </c>
      <c r="Y121" s="78">
        <f t="shared" si="282"/>
        <v>-4.0372906192364999E-2</v>
      </c>
      <c r="Z121" s="7">
        <f t="shared" si="283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/>
      <c r="L122" s="7"/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289">+SUM(C115:C122)+SUM(B123:B126)</f>
        <v>5.6669480000000005</v>
      </c>
      <c r="Q122" s="6">
        <f t="shared" si="289"/>
        <v>5.9430999999999994</v>
      </c>
      <c r="R122" s="6">
        <f t="shared" si="289"/>
        <v>5.3117000000000001</v>
      </c>
      <c r="S122" s="6">
        <f t="shared" si="289"/>
        <v>5.6497000000000002</v>
      </c>
      <c r="T122" s="6">
        <f t="shared" si="289"/>
        <v>5.8851999999999993</v>
      </c>
      <c r="U122" s="6">
        <f t="shared" si="289"/>
        <v>5.9677340000000001</v>
      </c>
      <c r="V122" s="6">
        <f t="shared" si="289"/>
        <v>3.9503820000000003</v>
      </c>
      <c r="W122" s="67">
        <f t="shared" si="289"/>
        <v>4.0037000000000003</v>
      </c>
      <c r="X122" s="37"/>
      <c r="Y122" s="78"/>
      <c r="Z122" s="7"/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/>
      <c r="L123" s="7"/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290">+SUM(C115:C123)+SUM(B124:B126)</f>
        <v>5.8281710000000002</v>
      </c>
      <c r="Q123" s="6">
        <f t="shared" si="290"/>
        <v>5.6344999999999992</v>
      </c>
      <c r="R123" s="6">
        <f t="shared" si="290"/>
        <v>5.4077000000000002</v>
      </c>
      <c r="S123" s="6">
        <f t="shared" si="290"/>
        <v>5.8212000000000002</v>
      </c>
      <c r="T123" s="6">
        <f t="shared" si="290"/>
        <v>5.9209999999999994</v>
      </c>
      <c r="U123" s="6">
        <f t="shared" si="290"/>
        <v>5.8485010000000006</v>
      </c>
      <c r="V123" s="6">
        <f t="shared" si="290"/>
        <v>3.8004150000000001</v>
      </c>
      <c r="W123" s="67">
        <f t="shared" si="290"/>
        <v>3.9119999999999999</v>
      </c>
      <c r="X123" s="37"/>
      <c r="Y123" s="78"/>
      <c r="Z123" s="7"/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/>
      <c r="L124" s="7"/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291">+SUM(C115:C124)+SUM(B125:B126)</f>
        <v>5.8978999999999999</v>
      </c>
      <c r="Q124" s="6">
        <f t="shared" si="291"/>
        <v>5.5356999999999994</v>
      </c>
      <c r="R124" s="6">
        <f t="shared" si="291"/>
        <v>5.4688999999999997</v>
      </c>
      <c r="S124" s="6">
        <f t="shared" si="291"/>
        <v>5.7877999999999998</v>
      </c>
      <c r="T124" s="6">
        <f t="shared" si="291"/>
        <v>5.8680999999999992</v>
      </c>
      <c r="U124" s="6">
        <f t="shared" si="291"/>
        <v>6.062316</v>
      </c>
      <c r="V124" s="6">
        <f t="shared" si="291"/>
        <v>3.4977</v>
      </c>
      <c r="W124" s="67">
        <f t="shared" si="291"/>
        <v>4.0179999999999998</v>
      </c>
      <c r="X124" s="37"/>
      <c r="Y124" s="78"/>
      <c r="Z124" s="7"/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292">+SUM(C115:C125)+SUM(B126)</f>
        <v>5.8832000000000004</v>
      </c>
      <c r="Q125" s="6">
        <f t="shared" si="292"/>
        <v>5.4464999999999995</v>
      </c>
      <c r="R125" s="6">
        <f t="shared" si="292"/>
        <v>5.5785999999999998</v>
      </c>
      <c r="S125" s="6">
        <f t="shared" si="292"/>
        <v>5.6492999999999993</v>
      </c>
      <c r="T125" s="6">
        <f t="shared" si="292"/>
        <v>5.9118999999999993</v>
      </c>
      <c r="U125" s="6">
        <f t="shared" si="292"/>
        <v>5.8663159999999994</v>
      </c>
      <c r="V125" s="6">
        <f t="shared" si="292"/>
        <v>3.4824999999999999</v>
      </c>
      <c r="W125" s="67">
        <f t="shared" si="292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293">+SUM(C115:C126)</f>
        <v>5.8956</v>
      </c>
      <c r="Q126" s="6">
        <f t="shared" si="293"/>
        <v>5.4649000000000001</v>
      </c>
      <c r="R126" s="6">
        <f t="shared" si="293"/>
        <v>5.4870999999999999</v>
      </c>
      <c r="S126" s="6">
        <f t="shared" si="293"/>
        <v>5.8879999999999999</v>
      </c>
      <c r="T126" s="6">
        <f t="shared" si="293"/>
        <v>6.2718999999999987</v>
      </c>
      <c r="U126" s="6">
        <f t="shared" si="293"/>
        <v>5.1882159999999997</v>
      </c>
      <c r="V126" s="6">
        <f t="shared" si="293"/>
        <v>3.4487999999999999</v>
      </c>
      <c r="W126" s="67">
        <f t="shared" si="293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294">SUM(C115:C126)</f>
        <v>5.8956</v>
      </c>
      <c r="D127" s="159">
        <f t="shared" ref="D127" si="295">SUM(D115:D126)</f>
        <v>5.4649000000000001</v>
      </c>
      <c r="E127" s="159">
        <f t="shared" ref="E127" si="296">SUM(E115:E126)</f>
        <v>5.4870999999999999</v>
      </c>
      <c r="F127" s="159">
        <f t="shared" ref="F127:G127" si="297">SUM(F115:F126)</f>
        <v>5.8879999999999999</v>
      </c>
      <c r="G127" s="159">
        <f t="shared" si="297"/>
        <v>6.2718999999999987</v>
      </c>
      <c r="H127" s="159">
        <f t="shared" ref="H127:I127" si="298">SUM(H115:H126)</f>
        <v>5.1882159999999997</v>
      </c>
      <c r="I127" s="159">
        <f t="shared" si="298"/>
        <v>3.4487999999999999</v>
      </c>
      <c r="J127" s="216">
        <f t="shared" ref="J127" si="299">SUM(J115:J126)</f>
        <v>3.8716000000000004</v>
      </c>
      <c r="K127" s="216"/>
      <c r="L127" s="56"/>
      <c r="M127" s="3"/>
      <c r="N127" s="43" t="s">
        <v>14</v>
      </c>
      <c r="O127" s="46">
        <f t="shared" ref="O127" si="300">+AVERAGE(O115:O126)</f>
        <v>6.4799646666666648</v>
      </c>
      <c r="P127" s="46">
        <f>+AVERAGE(P115:P126)</f>
        <v>5.939538333333334</v>
      </c>
      <c r="Q127" s="46">
        <f t="shared" ref="Q127:W127" si="301">+AVERAGE(Q115:Q126)</f>
        <v>5.7820916666666662</v>
      </c>
      <c r="R127" s="46">
        <f t="shared" si="301"/>
        <v>5.4203666666666663</v>
      </c>
      <c r="S127" s="46">
        <f t="shared" si="301"/>
        <v>5.5743833333333335</v>
      </c>
      <c r="T127" s="46">
        <f t="shared" si="301"/>
        <v>5.9489416666666664</v>
      </c>
      <c r="U127" s="226">
        <f t="shared" si="301"/>
        <v>6.0336600000000002</v>
      </c>
      <c r="V127" s="226">
        <f t="shared" si="301"/>
        <v>4.2016893333333334</v>
      </c>
      <c r="W127" s="220">
        <f t="shared" si="301"/>
        <v>3.7887833333333334</v>
      </c>
      <c r="X127" s="220">
        <f t="shared" ref="X127" si="302">+AVERAGE(X115:X126)</f>
        <v>3.7925142857142862</v>
      </c>
      <c r="Y127" s="79">
        <f>+X127/W127-1</f>
        <v>9.8473627354933591E-4</v>
      </c>
      <c r="Z127" s="75">
        <f>+POWER(X127/S127,0.2)-1</f>
        <v>-7.4138385474996737E-2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03">+C127/C$163</f>
        <v>3.0091259876278555E-2</v>
      </c>
      <c r="D128" s="58">
        <f t="shared" ref="D128" si="304">+D127/D$163</f>
        <v>2.8193755781373415E-2</v>
      </c>
      <c r="E128" s="58">
        <f t="shared" ref="E128" si="305">+E127/E$163</f>
        <v>2.5819289909532965E-2</v>
      </c>
      <c r="F128" s="58">
        <f t="shared" ref="F128:G128" si="306">+F127/F$163</f>
        <v>2.2691974178629924E-2</v>
      </c>
      <c r="G128" s="58">
        <f t="shared" si="306"/>
        <v>2.3429976054122906E-2</v>
      </c>
      <c r="H128" s="58">
        <f t="shared" ref="H128:I128" si="307">+H127/H$163</f>
        <v>2.2443923889368347E-2</v>
      </c>
      <c r="I128" s="58">
        <f t="shared" si="307"/>
        <v>1.9128660877262751E-2</v>
      </c>
      <c r="J128" s="189">
        <f t="shared" ref="J128" si="308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09">+P127/P$163</f>
        <v>2.8816186639327192E-2</v>
      </c>
      <c r="Q128" s="48">
        <f t="shared" ref="Q128" si="310">+Q127/Q$163</f>
        <v>3.016193613051325E-2</v>
      </c>
      <c r="R128" s="48">
        <f t="shared" ref="R128" si="311">+R127/R$163</f>
        <v>2.6395240445226419E-2</v>
      </c>
      <c r="S128" s="48">
        <f t="shared" ref="S128:W128" si="312">+S127/S$163</f>
        <v>2.3604038084970736E-2</v>
      </c>
      <c r="T128" s="48">
        <f t="shared" si="312"/>
        <v>2.238253771203624E-2</v>
      </c>
      <c r="U128" s="58">
        <f t="shared" si="312"/>
        <v>2.3837373648182968E-2</v>
      </c>
      <c r="V128" s="58">
        <f t="shared" si="312"/>
        <v>2.0953103409241038E-2</v>
      </c>
      <c r="W128" s="189">
        <f t="shared" si="312"/>
        <v>2.1120750586732677E-2</v>
      </c>
      <c r="X128" s="189">
        <f t="shared" ref="X128" si="313">+X127/X$163</f>
        <v>2.1223222046709542E-2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14">+D127/C127-1</f>
        <v>-7.305448130809411E-2</v>
      </c>
      <c r="E129" s="62">
        <f t="shared" si="314"/>
        <v>4.062288422477911E-3</v>
      </c>
      <c r="F129" s="62">
        <f t="shared" si="314"/>
        <v>7.3062273331996774E-2</v>
      </c>
      <c r="G129" s="62">
        <f t="shared" si="314"/>
        <v>6.5200407608695388E-2</v>
      </c>
      <c r="H129" s="62">
        <f t="shared" si="314"/>
        <v>-0.17278400484701595</v>
      </c>
      <c r="I129" s="62">
        <f t="shared" si="314"/>
        <v>-0.33526283408400881</v>
      </c>
      <c r="J129" s="190">
        <f t="shared" si="314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15">+Q127/P127-1</f>
        <v>-2.6508233103414769E-2</v>
      </c>
      <c r="R129" s="50">
        <f t="shared" si="315"/>
        <v>-6.2559540881255482E-2</v>
      </c>
      <c r="S129" s="50">
        <f t="shared" si="315"/>
        <v>2.8414436907712393E-2</v>
      </c>
      <c r="T129" s="50">
        <f t="shared" ref="T129" si="316">+T127/S127-1</f>
        <v>6.7192783656189192E-2</v>
      </c>
      <c r="U129" s="62">
        <f t="shared" ref="U129" si="317">+U127/T127-1</f>
        <v>1.4240908396871754E-2</v>
      </c>
      <c r="V129" s="62">
        <f t="shared" ref="V129" si="318">+V127/U127-1</f>
        <v>-0.3036251075908597</v>
      </c>
      <c r="W129" s="190">
        <f t="shared" ref="W129:X129" si="319">+W127/V127-1</f>
        <v>-9.8271425429835024E-2</v>
      </c>
      <c r="X129" s="190">
        <f t="shared" si="319"/>
        <v>9.8473627354933591E-4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51" t="s">
        <v>62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192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20">+C132+1</f>
        <v>2018</v>
      </c>
      <c r="E132" s="39">
        <f t="shared" ref="E132" si="321">+D132+1</f>
        <v>2019</v>
      </c>
      <c r="F132" s="39">
        <f t="shared" ref="F132" si="322">+E132+1</f>
        <v>2020</v>
      </c>
      <c r="G132" s="39">
        <f t="shared" ref="G132" si="323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24">+P132+1</f>
        <v>2018</v>
      </c>
      <c r="R132" s="64">
        <f t="shared" ref="R132" si="325">+Q132+1</f>
        <v>2019</v>
      </c>
      <c r="S132" s="64">
        <f t="shared" ref="S132" si="326">+R132+1</f>
        <v>2020</v>
      </c>
      <c r="T132" s="64">
        <f t="shared" ref="T132" si="327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28">+SUM(C133)+SUM(B134:B144)</f>
        <v>39.753168000000002</v>
      </c>
      <c r="Q133" s="6">
        <f t="shared" si="328"/>
        <v>33.029599999999995</v>
      </c>
      <c r="R133" s="6">
        <f t="shared" si="328"/>
        <v>34.333800000000004</v>
      </c>
      <c r="S133" s="6">
        <f t="shared" si="328"/>
        <v>38.062900000000006</v>
      </c>
      <c r="T133" s="6">
        <f t="shared" si="328"/>
        <v>44.141799999999996</v>
      </c>
      <c r="U133" s="6">
        <f t="shared" si="328"/>
        <v>40.997600000000006</v>
      </c>
      <c r="V133" s="6">
        <f t="shared" si="328"/>
        <v>30.176238499999993</v>
      </c>
      <c r="W133" s="67">
        <f t="shared" si="328"/>
        <v>19.314699999999998</v>
      </c>
      <c r="X133" s="37">
        <f t="shared" si="328"/>
        <v>19.043800000000001</v>
      </c>
      <c r="Y133" s="78">
        <f t="shared" ref="Y133:Y134" si="329">+X133/W133-1</f>
        <v>-1.4025586729278561E-2</v>
      </c>
      <c r="Z133" s="7">
        <f t="shared" ref="Z133:Z134" si="330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31">+SUM(C133:C134)+SUM(B135:B144)</f>
        <v>39.236497000000007</v>
      </c>
      <c r="Q134" s="6">
        <f t="shared" si="331"/>
        <v>32.910299999999992</v>
      </c>
      <c r="R134" s="6">
        <f t="shared" si="331"/>
        <v>34.587800000000001</v>
      </c>
      <c r="S134" s="6">
        <f t="shared" si="331"/>
        <v>39.221000000000004</v>
      </c>
      <c r="T134" s="6">
        <f t="shared" si="331"/>
        <v>43.460900000000002</v>
      </c>
      <c r="U134" s="6">
        <f t="shared" si="331"/>
        <v>39.813199999999995</v>
      </c>
      <c r="V134" s="6">
        <f t="shared" si="331"/>
        <v>29.562438499999992</v>
      </c>
      <c r="W134" s="67">
        <f t="shared" si="331"/>
        <v>19.3476</v>
      </c>
      <c r="X134" s="37">
        <f t="shared" si="331"/>
        <v>18.851999999999997</v>
      </c>
      <c r="Y134" s="78">
        <f t="shared" si="329"/>
        <v>-2.5615580227005053E-2</v>
      </c>
      <c r="Z134" s="7">
        <f t="shared" si="330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32">+SUM(C133:C135)+SUM(B136:B144)</f>
        <v>38.071178000000003</v>
      </c>
      <c r="Q135" s="6">
        <f t="shared" si="332"/>
        <v>32.695099999999996</v>
      </c>
      <c r="R135" s="6">
        <f t="shared" si="332"/>
        <v>35.178000000000004</v>
      </c>
      <c r="S135" s="6">
        <f t="shared" si="332"/>
        <v>39.376900000000006</v>
      </c>
      <c r="T135" s="6">
        <f t="shared" si="332"/>
        <v>44.049399999999999</v>
      </c>
      <c r="U135" s="6">
        <f t="shared" si="332"/>
        <v>38.81521</v>
      </c>
      <c r="V135" s="6">
        <f t="shared" si="332"/>
        <v>29.338128499999989</v>
      </c>
      <c r="W135" s="67">
        <f t="shared" si="332"/>
        <v>18.2577</v>
      </c>
      <c r="X135" s="37">
        <f t="shared" ref="X135" si="333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34">+SUM(C133:C136)+SUM(B137:B144)</f>
        <v>37.17293500000001</v>
      </c>
      <c r="Q136" s="6">
        <f t="shared" si="334"/>
        <v>32.5212</v>
      </c>
      <c r="R136" s="6">
        <f t="shared" si="334"/>
        <v>35.912100000000002</v>
      </c>
      <c r="S136" s="6">
        <f t="shared" si="334"/>
        <v>40.059199999999997</v>
      </c>
      <c r="T136" s="6">
        <f t="shared" si="334"/>
        <v>43.925800000000002</v>
      </c>
      <c r="U136" s="6">
        <f t="shared" si="334"/>
        <v>39.086530499999995</v>
      </c>
      <c r="V136" s="6">
        <f t="shared" si="334"/>
        <v>26.840907999999995</v>
      </c>
      <c r="W136" s="67">
        <f t="shared" si="334"/>
        <v>18.714700000000001</v>
      </c>
      <c r="X136" s="37">
        <f t="shared" ref="X136" si="335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36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37">+SUM(C133:C137)+SUM(B138:B144)</f>
        <v>36.23770300000001</v>
      </c>
      <c r="Q137" s="6">
        <f t="shared" si="337"/>
        <v>32.7607</v>
      </c>
      <c r="R137" s="6">
        <f t="shared" si="337"/>
        <v>36.666600000000003</v>
      </c>
      <c r="S137" s="6">
        <f t="shared" si="337"/>
        <v>41.193199999999997</v>
      </c>
      <c r="T137" s="6">
        <f t="shared" si="337"/>
        <v>42.451900000000002</v>
      </c>
      <c r="U137" s="6">
        <f t="shared" si="337"/>
        <v>39.064355499999991</v>
      </c>
      <c r="V137" s="6">
        <f t="shared" si="337"/>
        <v>25.773082999999996</v>
      </c>
      <c r="W137" s="67">
        <f t="shared" si="337"/>
        <v>18.584500000000002</v>
      </c>
      <c r="X137" s="37">
        <f t="shared" ref="X137" si="338">+SUM(K133:K137)+SUM(J138:J144)</f>
        <v>18.558199999999999</v>
      </c>
      <c r="Y137" s="78">
        <f t="shared" ref="Y137:Y139" si="339">+X137/W137-1</f>
        <v>-1.4151577927844494E-3</v>
      </c>
      <c r="Z137" s="7">
        <f t="shared" ref="Z137:Z139" si="340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36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41">+SUM(C133:C138)+SUM(B139:B144)</f>
        <v>36.483429000000008</v>
      </c>
      <c r="Q138" s="6">
        <f t="shared" si="341"/>
        <v>31.847000000000001</v>
      </c>
      <c r="R138" s="6">
        <f t="shared" si="341"/>
        <v>36.648099999999999</v>
      </c>
      <c r="S138" s="6">
        <f t="shared" si="341"/>
        <v>43.029399999999995</v>
      </c>
      <c r="T138" s="6">
        <f t="shared" si="341"/>
        <v>41.61</v>
      </c>
      <c r="U138" s="6">
        <f t="shared" si="341"/>
        <v>38.15677449999999</v>
      </c>
      <c r="V138" s="6">
        <f t="shared" si="341"/>
        <v>24.613664</v>
      </c>
      <c r="W138" s="67">
        <f t="shared" si="341"/>
        <v>18.564900000000002</v>
      </c>
      <c r="X138" s="37">
        <f t="shared" ref="X138" si="342">+SUM(K133:K138)+SUM(J139:J144)</f>
        <v>18.77</v>
      </c>
      <c r="Y138" s="78">
        <f t="shared" si="339"/>
        <v>1.1047729855803157E-2</v>
      </c>
      <c r="Z138" s="7">
        <f t="shared" si="340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343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44">+SUM(C133:C139)+SUM(B140:B144)</f>
        <v>36.03990300000001</v>
      </c>
      <c r="Q139" s="6">
        <f t="shared" si="344"/>
        <v>32.411200000000001</v>
      </c>
      <c r="R139" s="6">
        <f t="shared" si="344"/>
        <v>36.732900000000001</v>
      </c>
      <c r="S139" s="6">
        <f t="shared" si="344"/>
        <v>43.769999999999996</v>
      </c>
      <c r="T139" s="6">
        <f t="shared" si="344"/>
        <v>40.739500000000007</v>
      </c>
      <c r="U139" s="6">
        <f t="shared" si="344"/>
        <v>36.826604499999988</v>
      </c>
      <c r="V139" s="6">
        <f t="shared" si="344"/>
        <v>24.160234000000003</v>
      </c>
      <c r="W139" s="67">
        <f t="shared" si="344"/>
        <v>19.084900000000001</v>
      </c>
      <c r="X139" s="37">
        <f t="shared" ref="X139" si="345">+SUM(K133:K139)+SUM(J140:J144)</f>
        <v>18.450899999999997</v>
      </c>
      <c r="Y139" s="78">
        <f t="shared" si="339"/>
        <v>-3.321998019376593E-2</v>
      </c>
      <c r="Z139" s="7">
        <f t="shared" si="340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/>
      <c r="L140" s="7"/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46">+SUM(C133:C140)+SUM(B141:B144)</f>
        <v>35.796124000000006</v>
      </c>
      <c r="Q140" s="6">
        <f t="shared" si="346"/>
        <v>32.089299999999994</v>
      </c>
      <c r="R140" s="6">
        <f t="shared" si="346"/>
        <v>37.289299999999997</v>
      </c>
      <c r="S140" s="6">
        <f t="shared" si="346"/>
        <v>43.529799999999994</v>
      </c>
      <c r="T140" s="6">
        <f t="shared" si="346"/>
        <v>40.859700000000004</v>
      </c>
      <c r="U140" s="6">
        <f t="shared" si="346"/>
        <v>35.838990499999987</v>
      </c>
      <c r="V140" s="6">
        <f t="shared" si="346"/>
        <v>23.295648000000007</v>
      </c>
      <c r="W140" s="67">
        <f t="shared" si="346"/>
        <v>18.496400000000001</v>
      </c>
      <c r="X140" s="37"/>
      <c r="Y140" s="78"/>
      <c r="Z140" s="7"/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/>
      <c r="L141" s="7"/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47">+SUM(C133:C141)+SUM(B142:B144)</f>
        <v>34.751332000000005</v>
      </c>
      <c r="Q141" s="6">
        <f t="shared" si="347"/>
        <v>32.050699999999999</v>
      </c>
      <c r="R141" s="6">
        <f t="shared" si="347"/>
        <v>37.198599999999999</v>
      </c>
      <c r="S141" s="6">
        <f t="shared" si="347"/>
        <v>45.494900000000001</v>
      </c>
      <c r="T141" s="6">
        <f t="shared" si="347"/>
        <v>40.081299999999999</v>
      </c>
      <c r="U141" s="6">
        <f t="shared" si="347"/>
        <v>35.50965149999999</v>
      </c>
      <c r="V141" s="6">
        <f t="shared" si="347"/>
        <v>22.186187000000004</v>
      </c>
      <c r="W141" s="67">
        <f t="shared" si="347"/>
        <v>18.109200000000001</v>
      </c>
      <c r="X141" s="37"/>
      <c r="Y141" s="78"/>
      <c r="Z141" s="7"/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/>
      <c r="L142" s="7"/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48">+SUM(C133:C142)+SUM(B143:B144)</f>
        <v>34.131799999999998</v>
      </c>
      <c r="Q142" s="6">
        <f t="shared" si="348"/>
        <v>32.537899999999993</v>
      </c>
      <c r="R142" s="6">
        <f t="shared" si="348"/>
        <v>37.845300000000002</v>
      </c>
      <c r="S142" s="6">
        <f t="shared" si="348"/>
        <v>44.881499999999996</v>
      </c>
      <c r="T142" s="6">
        <f t="shared" si="348"/>
        <v>40.380800000000008</v>
      </c>
      <c r="U142" s="6">
        <f t="shared" si="348"/>
        <v>34.353038499999997</v>
      </c>
      <c r="V142" s="6">
        <f t="shared" si="348"/>
        <v>21.068700000000003</v>
      </c>
      <c r="W142" s="67">
        <f t="shared" si="348"/>
        <v>18.634399999999999</v>
      </c>
      <c r="X142" s="37"/>
      <c r="Y142" s="78"/>
      <c r="Z142" s="7"/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349">+SUM(C133:C143)+SUM(B144)</f>
        <v>34.186199999999999</v>
      </c>
      <c r="Q143" s="6">
        <f t="shared" si="349"/>
        <v>33.037500000000001</v>
      </c>
      <c r="R143" s="6">
        <f t="shared" si="349"/>
        <v>37.432000000000002</v>
      </c>
      <c r="S143" s="6">
        <f t="shared" si="349"/>
        <v>45.148199999999996</v>
      </c>
      <c r="T143" s="6">
        <f t="shared" si="349"/>
        <v>40.449000000000005</v>
      </c>
      <c r="U143" s="6">
        <f t="shared" si="349"/>
        <v>33.523038499999991</v>
      </c>
      <c r="V143" s="6">
        <f t="shared" si="349"/>
        <v>20.396800000000006</v>
      </c>
      <c r="W143" s="67">
        <f t="shared" si="349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350">+SUM(C133:C144)</f>
        <v>33.7087</v>
      </c>
      <c r="Q144" s="6">
        <f t="shared" si="350"/>
        <v>33.227199999999996</v>
      </c>
      <c r="R144" s="6">
        <f t="shared" si="350"/>
        <v>37.770600000000002</v>
      </c>
      <c r="S144" s="6">
        <f t="shared" si="350"/>
        <v>45.222799999999992</v>
      </c>
      <c r="T144" s="6">
        <f t="shared" si="350"/>
        <v>41.056100000000008</v>
      </c>
      <c r="U144" s="6">
        <f t="shared" si="350"/>
        <v>31.281738499999996</v>
      </c>
      <c r="V144" s="6">
        <f t="shared" si="350"/>
        <v>20.173200000000005</v>
      </c>
      <c r="W144" s="67">
        <f t="shared" si="350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351">SUM(C133:C144)</f>
        <v>33.7087</v>
      </c>
      <c r="D145" s="159">
        <f t="shared" ref="D145" si="352">SUM(D133:D144)</f>
        <v>33.227199999999996</v>
      </c>
      <c r="E145" s="159">
        <f t="shared" ref="E145" si="353">SUM(E133:E144)</f>
        <v>37.770600000000002</v>
      </c>
      <c r="F145" s="159">
        <f t="shared" ref="F145" si="354">SUM(F133:F144)</f>
        <v>45.222799999999992</v>
      </c>
      <c r="G145" s="159">
        <f t="shared" ref="G145:I145" si="355">SUM(G133:G144)</f>
        <v>41.056100000000008</v>
      </c>
      <c r="H145" s="159">
        <f t="shared" si="355"/>
        <v>31.281738499999996</v>
      </c>
      <c r="I145" s="159">
        <f t="shared" si="355"/>
        <v>20.173200000000005</v>
      </c>
      <c r="J145" s="216">
        <f t="shared" ref="J145" si="356">SUM(J133:J144)</f>
        <v>19.0167</v>
      </c>
      <c r="K145" s="216"/>
      <c r="L145" s="56"/>
      <c r="M145" s="3"/>
      <c r="N145" s="43" t="s">
        <v>14</v>
      </c>
      <c r="O145" s="46">
        <f t="shared" ref="O145" si="357">+AVERAGE(O133:O144)</f>
        <v>40.092438083333398</v>
      </c>
      <c r="P145" s="46">
        <f>+AVERAGE(P133:P144)</f>
        <v>36.297414083333337</v>
      </c>
      <c r="Q145" s="46">
        <f t="shared" ref="Q145:W145" si="358">+AVERAGE(Q133:Q144)</f>
        <v>32.593141666666668</v>
      </c>
      <c r="R145" s="46">
        <f t="shared" si="358"/>
        <v>36.466258333333336</v>
      </c>
      <c r="S145" s="46">
        <f t="shared" si="358"/>
        <v>42.415816666666665</v>
      </c>
      <c r="T145" s="46">
        <f t="shared" si="358"/>
        <v>41.933850000000007</v>
      </c>
      <c r="U145" s="226">
        <f t="shared" si="358"/>
        <v>36.938894374999997</v>
      </c>
      <c r="V145" s="226">
        <f t="shared" si="358"/>
        <v>24.798769124999996</v>
      </c>
      <c r="W145" s="220">
        <f t="shared" si="358"/>
        <v>18.739241666666668</v>
      </c>
      <c r="X145" s="220">
        <f t="shared" ref="X145" si="359">+AVERAGE(X133:X144)</f>
        <v>18.781828571428569</v>
      </c>
      <c r="Y145" s="79">
        <f>+X145/W145-1</f>
        <v>2.2726055578681237E-3</v>
      </c>
      <c r="Z145" s="75">
        <f>+POWER(X145/S145,0.2)-1</f>
        <v>-0.15034619274347294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360">+C145/C$163</f>
        <v>0.17204987648271777</v>
      </c>
      <c r="D146" s="58">
        <f t="shared" si="360"/>
        <v>0.171421171860208</v>
      </c>
      <c r="E146" s="58">
        <f t="shared" si="360"/>
        <v>0.17772777449964569</v>
      </c>
      <c r="F146" s="58">
        <f t="shared" si="360"/>
        <v>0.1742857693419404</v>
      </c>
      <c r="G146" s="58">
        <f t="shared" ref="G146:I146" si="361">+G145/G$163</f>
        <v>0.15337352953262581</v>
      </c>
      <c r="H146" s="58">
        <f t="shared" si="361"/>
        <v>0.13532300081976609</v>
      </c>
      <c r="I146" s="58">
        <f t="shared" si="361"/>
        <v>0.11189002018359923</v>
      </c>
      <c r="J146" s="189">
        <f t="shared" ref="J146" si="362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363">+P145/P$163</f>
        <v>0.17610006031618225</v>
      </c>
      <c r="Q146" s="48">
        <f t="shared" ref="Q146" si="364">+Q145/Q$163</f>
        <v>0.17002017849528564</v>
      </c>
      <c r="R146" s="48">
        <f t="shared" ref="R146" si="365">+R145/R$163</f>
        <v>0.17757759133996009</v>
      </c>
      <c r="S146" s="48">
        <f t="shared" ref="S146:W146" si="366">+S145/S$163</f>
        <v>0.17960453957630046</v>
      </c>
      <c r="T146" s="48">
        <f t="shared" si="366"/>
        <v>0.1577736060676122</v>
      </c>
      <c r="U146" s="58">
        <f t="shared" si="366"/>
        <v>0.1459356721074172</v>
      </c>
      <c r="V146" s="58">
        <f t="shared" si="366"/>
        <v>0.12366720446839766</v>
      </c>
      <c r="W146" s="189">
        <f t="shared" si="366"/>
        <v>0.10446278253604072</v>
      </c>
      <c r="X146" s="189">
        <f t="shared" ref="X146" si="367">+X145/X$163</f>
        <v>0.10510465833079577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68">+D145/C145-1</f>
        <v>-1.4284146229311845E-2</v>
      </c>
      <c r="E147" s="62">
        <f t="shared" ref="E147" si="369">+E145/D145-1</f>
        <v>0.13673737179178524</v>
      </c>
      <c r="F147" s="62">
        <f t="shared" ref="F147:J147" si="370">+F145/E145-1</f>
        <v>0.19730160495199955</v>
      </c>
      <c r="G147" s="62">
        <f t="shared" si="370"/>
        <v>-9.2137152056042226E-2</v>
      </c>
      <c r="H147" s="62">
        <f t="shared" si="370"/>
        <v>-0.23807330701162577</v>
      </c>
      <c r="I147" s="62">
        <f t="shared" si="370"/>
        <v>-0.35511256831201987</v>
      </c>
      <c r="J147" s="190">
        <f t="shared" si="370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371">+Q145/P145-1</f>
        <v>-0.10205334209655326</v>
      </c>
      <c r="R147" s="50">
        <f t="shared" ref="R147" si="372">+R145/Q145-1</f>
        <v>0.11883225944517473</v>
      </c>
      <c r="S147" s="50">
        <f t="shared" ref="S147" si="373">+S145/R145-1</f>
        <v>0.16315242103944927</v>
      </c>
      <c r="T147" s="50">
        <f t="shared" ref="T147" si="374">+T145/S145-1</f>
        <v>-1.1362899610168786E-2</v>
      </c>
      <c r="U147" s="62">
        <f t="shared" ref="U147" si="375">+U145/T145-1</f>
        <v>-0.11911512119683765</v>
      </c>
      <c r="V147" s="62">
        <f t="shared" ref="V147" si="376">+V145/U145-1</f>
        <v>-0.3286542668753063</v>
      </c>
      <c r="W147" s="190">
        <f t="shared" ref="W147:X147" si="377">+W145/V145-1</f>
        <v>-0.24434791209958207</v>
      </c>
      <c r="X147" s="190">
        <f t="shared" si="377"/>
        <v>2.2726055578681237E-3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63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64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378">+C150+1</f>
        <v>2018</v>
      </c>
      <c r="E150" s="39">
        <f t="shared" si="378"/>
        <v>2019</v>
      </c>
      <c r="F150" s="39">
        <f t="shared" si="378"/>
        <v>2020</v>
      </c>
      <c r="G150" s="39">
        <f t="shared" si="378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79">+P150+1</f>
        <v>2018</v>
      </c>
      <c r="R150" s="64">
        <f t="shared" si="379"/>
        <v>2019</v>
      </c>
      <c r="S150" s="64">
        <f t="shared" si="379"/>
        <v>2020</v>
      </c>
      <c r="T150" s="64">
        <f t="shared" si="379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380">+SUM(C151)+SUM(B152:B162)</f>
        <v>218.66700999999998</v>
      </c>
      <c r="Q151" s="6">
        <f t="shared" si="380"/>
        <v>192.06950000000001</v>
      </c>
      <c r="R151" s="6">
        <f t="shared" si="380"/>
        <v>197.08439999999996</v>
      </c>
      <c r="S151" s="6">
        <f t="shared" si="380"/>
        <v>215.55779999999999</v>
      </c>
      <c r="T151" s="6">
        <f t="shared" si="380"/>
        <v>258.89019999999999</v>
      </c>
      <c r="U151" s="6">
        <f t="shared" si="380"/>
        <v>264.4631</v>
      </c>
      <c r="V151" s="6">
        <f t="shared" si="380"/>
        <v>229.0514</v>
      </c>
      <c r="W151" s="67">
        <f t="shared" si="380"/>
        <v>178.58790000000002</v>
      </c>
      <c r="X151" s="37">
        <f t="shared" si="380"/>
        <v>181.01159999999999</v>
      </c>
      <c r="Y151" s="78">
        <f t="shared" ref="Y151:Y152" si="381">+X151/W151-1</f>
        <v>1.3571468167776102E-2</v>
      </c>
      <c r="Z151" s="7">
        <f t="shared" ref="Z151:Z152" si="382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383">+SUM(C151:C152)+SUM(B153:B162)</f>
        <v>213.93590399999999</v>
      </c>
      <c r="Q152" s="6">
        <f t="shared" si="383"/>
        <v>193.46289999999999</v>
      </c>
      <c r="R152" s="6">
        <f t="shared" si="383"/>
        <v>199.08329999999998</v>
      </c>
      <c r="S152" s="6">
        <f t="shared" si="383"/>
        <v>218.08240000000001</v>
      </c>
      <c r="T152" s="6">
        <f t="shared" si="383"/>
        <v>260.74520000000001</v>
      </c>
      <c r="U152" s="6">
        <f t="shared" si="383"/>
        <v>263.69439999999997</v>
      </c>
      <c r="V152" s="6">
        <f t="shared" si="383"/>
        <v>222.7884</v>
      </c>
      <c r="W152" s="67">
        <f t="shared" si="383"/>
        <v>178.91380000000001</v>
      </c>
      <c r="X152" s="37">
        <f t="shared" si="383"/>
        <v>180.52250000000001</v>
      </c>
      <c r="Y152" s="78">
        <f t="shared" si="381"/>
        <v>8.99148081366552E-3</v>
      </c>
      <c r="Z152" s="7">
        <f t="shared" si="382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384">+SUM(C151:C153)+SUM(B154:B162)</f>
        <v>210.86694900000001</v>
      </c>
      <c r="Q153" s="6">
        <f t="shared" si="384"/>
        <v>192.61369999999999</v>
      </c>
      <c r="R153" s="6">
        <f t="shared" si="384"/>
        <v>200.15099999999995</v>
      </c>
      <c r="S153" s="6">
        <f t="shared" si="384"/>
        <v>218.87199999999999</v>
      </c>
      <c r="T153" s="6">
        <f t="shared" si="384"/>
        <v>267.34929999999997</v>
      </c>
      <c r="U153" s="6">
        <f t="shared" si="384"/>
        <v>261.53949999999998</v>
      </c>
      <c r="V153" s="6">
        <f t="shared" si="384"/>
        <v>218.8296</v>
      </c>
      <c r="W153" s="67">
        <f t="shared" si="384"/>
        <v>174.87090000000001</v>
      </c>
      <c r="X153" s="37">
        <f t="shared" ref="X153" si="385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386">+SUM(C151:C154)+SUM(B155:B162)</f>
        <v>207.32515100000003</v>
      </c>
      <c r="Q154" s="6">
        <f t="shared" si="386"/>
        <v>191.845</v>
      </c>
      <c r="R154" s="6">
        <f t="shared" si="386"/>
        <v>203.49129999999997</v>
      </c>
      <c r="S154" s="6">
        <f t="shared" si="386"/>
        <v>221.9622</v>
      </c>
      <c r="T154" s="6">
        <f t="shared" si="386"/>
        <v>268.00189999999998</v>
      </c>
      <c r="U154" s="6">
        <f t="shared" si="386"/>
        <v>261.89639999999997</v>
      </c>
      <c r="V154" s="6">
        <f t="shared" si="386"/>
        <v>210.91139999999999</v>
      </c>
      <c r="W154" s="67">
        <f t="shared" si="386"/>
        <v>177.95439999999999</v>
      </c>
      <c r="X154" s="37">
        <f t="shared" ref="X154" si="387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388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389">+SUM(C151:C155)+SUM(B156:B162)</f>
        <v>204.96667300000001</v>
      </c>
      <c r="Q155" s="6">
        <f t="shared" si="389"/>
        <v>192.14800000000002</v>
      </c>
      <c r="R155" s="6">
        <f t="shared" si="389"/>
        <v>205.9821</v>
      </c>
      <c r="S155" s="6">
        <f t="shared" si="389"/>
        <v>225.42620000000002</v>
      </c>
      <c r="T155" s="6">
        <f t="shared" si="389"/>
        <v>268.8972</v>
      </c>
      <c r="U155" s="6">
        <f t="shared" si="389"/>
        <v>258.22409999999996</v>
      </c>
      <c r="V155" s="6">
        <f t="shared" si="389"/>
        <v>208.00879999999998</v>
      </c>
      <c r="W155" s="67">
        <f t="shared" si="389"/>
        <v>177.30029999999999</v>
      </c>
      <c r="X155" s="37">
        <f t="shared" ref="X155" si="390">+SUM(K151:K155)+SUM(J156:J162)</f>
        <v>176.84559999999999</v>
      </c>
      <c r="Y155" s="78">
        <f t="shared" ref="Y155:Y157" si="391">+X155/W155-1</f>
        <v>-2.564575468851471E-3</v>
      </c>
      <c r="Z155" s="7">
        <f t="shared" ref="Z155:Z157" si="392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388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393">+SUM(C151:C156)+SUM(B157:B162)</f>
        <v>206.70466299999998</v>
      </c>
      <c r="Q156" s="6">
        <f t="shared" si="393"/>
        <v>189.16500000000002</v>
      </c>
      <c r="R156" s="6">
        <f t="shared" si="393"/>
        <v>206.0352</v>
      </c>
      <c r="S156" s="6">
        <f t="shared" si="393"/>
        <v>231.75970000000001</v>
      </c>
      <c r="T156" s="6">
        <f t="shared" si="393"/>
        <v>271.23419999999999</v>
      </c>
      <c r="U156" s="6">
        <f t="shared" si="393"/>
        <v>257.71130000000005</v>
      </c>
      <c r="V156" s="6">
        <f t="shared" si="393"/>
        <v>198.5821</v>
      </c>
      <c r="W156" s="67">
        <f t="shared" si="393"/>
        <v>174.72070000000002</v>
      </c>
      <c r="X156" s="37">
        <f t="shared" ref="X156" si="394">+SUM(K151:K156)+SUM(J157:J162)</f>
        <v>179.40359999999998</v>
      </c>
      <c r="Y156" s="78">
        <f t="shared" si="391"/>
        <v>2.6802204890433501E-2</v>
      </c>
      <c r="Z156" s="7">
        <f t="shared" si="392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395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396">+SUM(C151:C157)+SUM(B158:B162)</f>
        <v>207.44877600000001</v>
      </c>
      <c r="Q157" s="6">
        <f t="shared" si="396"/>
        <v>192.2388</v>
      </c>
      <c r="R157" s="6">
        <f t="shared" si="396"/>
        <v>204.96940000000001</v>
      </c>
      <c r="S157" s="6">
        <f t="shared" si="396"/>
        <v>238.67080000000004</v>
      </c>
      <c r="T157" s="6">
        <f t="shared" si="396"/>
        <v>268.54399999999998</v>
      </c>
      <c r="U157" s="6">
        <f t="shared" si="396"/>
        <v>251.86340000000001</v>
      </c>
      <c r="V157" s="6">
        <f t="shared" si="396"/>
        <v>196.6584</v>
      </c>
      <c r="W157" s="67">
        <f t="shared" si="396"/>
        <v>180.06270000000001</v>
      </c>
      <c r="X157" s="37">
        <f t="shared" ref="X157" si="397">+SUM(K151:K157)+SUM(J158:J162)</f>
        <v>174.44589999999999</v>
      </c>
      <c r="Y157" s="78">
        <f t="shared" si="391"/>
        <v>-3.1193578681203871E-2</v>
      </c>
      <c r="Z157" s="7">
        <f t="shared" si="392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/>
      <c r="L158" s="7"/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398">+SUM(C151:C158)+SUM(B159:B162)</f>
        <v>205.13708699999998</v>
      </c>
      <c r="Q158" s="6">
        <f t="shared" si="398"/>
        <v>190.66059999999999</v>
      </c>
      <c r="R158" s="6">
        <f t="shared" si="398"/>
        <v>206.73560000000003</v>
      </c>
      <c r="S158" s="6">
        <f t="shared" si="398"/>
        <v>241.77030000000002</v>
      </c>
      <c r="T158" s="6">
        <f t="shared" si="398"/>
        <v>266.40409999999997</v>
      </c>
      <c r="U158" s="6">
        <f t="shared" si="398"/>
        <v>251.6679</v>
      </c>
      <c r="V158" s="6">
        <f t="shared" si="398"/>
        <v>191.11009999999999</v>
      </c>
      <c r="W158" s="67">
        <f t="shared" si="398"/>
        <v>181.4787</v>
      </c>
      <c r="X158" s="37"/>
      <c r="Y158" s="78"/>
      <c r="Z158" s="7"/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/>
      <c r="L159" s="7"/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399">+SUM(C151:C159)+SUM(B160:B162)</f>
        <v>202.10667599999999</v>
      </c>
      <c r="Q159" s="6">
        <f t="shared" si="399"/>
        <v>189.80310000000003</v>
      </c>
      <c r="R159" s="6">
        <f t="shared" si="399"/>
        <v>207.68270000000001</v>
      </c>
      <c r="S159" s="6">
        <f t="shared" si="399"/>
        <v>249.87510000000003</v>
      </c>
      <c r="T159" s="6">
        <f t="shared" si="399"/>
        <v>265.3322</v>
      </c>
      <c r="U159" s="6">
        <f t="shared" si="399"/>
        <v>250.25059999999999</v>
      </c>
      <c r="V159" s="6">
        <f t="shared" si="399"/>
        <v>185.82730000000001</v>
      </c>
      <c r="W159" s="67">
        <f t="shared" si="399"/>
        <v>180.40370000000001</v>
      </c>
      <c r="X159" s="37"/>
      <c r="Y159" s="78"/>
      <c r="Z159" s="7"/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/>
      <c r="L160" s="7"/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00">+SUM(C151:C160)+SUM(B161:B162)</f>
        <v>200.42869999999999</v>
      </c>
      <c r="Q160" s="6">
        <f t="shared" si="400"/>
        <v>190.6815</v>
      </c>
      <c r="R160" s="6">
        <f t="shared" si="400"/>
        <v>209.74439999999998</v>
      </c>
      <c r="S160" s="6">
        <f t="shared" si="400"/>
        <v>254.1551</v>
      </c>
      <c r="T160" s="6">
        <f t="shared" si="400"/>
        <v>262.24329999999998</v>
      </c>
      <c r="U160" s="6">
        <f t="shared" si="400"/>
        <v>245.87060000000002</v>
      </c>
      <c r="V160" s="6">
        <f t="shared" si="400"/>
        <v>183.4477</v>
      </c>
      <c r="W160" s="67">
        <f t="shared" si="400"/>
        <v>182.1138</v>
      </c>
      <c r="X160" s="37"/>
      <c r="Y160" s="78"/>
      <c r="Z160" s="7"/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01">+SUM(C151:C161)+SUM(B162)</f>
        <v>199.9059</v>
      </c>
      <c r="Q161" s="6">
        <f t="shared" si="401"/>
        <v>191.89750000000001</v>
      </c>
      <c r="R161" s="6">
        <f t="shared" si="401"/>
        <v>210.76849999999999</v>
      </c>
      <c r="S161" s="6">
        <f t="shared" si="401"/>
        <v>258.34070000000003</v>
      </c>
      <c r="T161" s="6">
        <f t="shared" si="401"/>
        <v>264.0908</v>
      </c>
      <c r="U161" s="6">
        <f t="shared" si="401"/>
        <v>239.06700000000001</v>
      </c>
      <c r="V161" s="6">
        <f t="shared" si="401"/>
        <v>180.82900000000001</v>
      </c>
      <c r="W161" s="67">
        <f t="shared" si="401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02">+SUM(C151:C162)</f>
        <v>195.92400000000001</v>
      </c>
      <c r="Q162" s="6">
        <f t="shared" si="402"/>
        <v>193.83369999999999</v>
      </c>
      <c r="R162" s="6">
        <f t="shared" si="402"/>
        <v>212.51939999999999</v>
      </c>
      <c r="S162" s="6">
        <f t="shared" si="402"/>
        <v>259.47500000000002</v>
      </c>
      <c r="T162" s="6">
        <f t="shared" si="402"/>
        <v>267.68700000000001</v>
      </c>
      <c r="U162" s="6">
        <f t="shared" si="402"/>
        <v>231.1635</v>
      </c>
      <c r="V162" s="6">
        <f t="shared" si="402"/>
        <v>180.29490000000001</v>
      </c>
      <c r="W162" s="67">
        <f t="shared" si="402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03">SUM(C151:C162)</f>
        <v>195.92400000000001</v>
      </c>
      <c r="D163" s="159">
        <f t="shared" si="403"/>
        <v>193.83369999999999</v>
      </c>
      <c r="E163" s="159">
        <f t="shared" si="403"/>
        <v>212.51939999999999</v>
      </c>
      <c r="F163" s="159">
        <f t="shared" si="403"/>
        <v>259.47500000000002</v>
      </c>
      <c r="G163" s="159">
        <f t="shared" ref="G163:H163" si="404">SUM(G151:G162)</f>
        <v>267.68700000000001</v>
      </c>
      <c r="H163" s="159">
        <f t="shared" si="404"/>
        <v>231.1635</v>
      </c>
      <c r="I163" s="159">
        <f t="shared" ref="I163" si="405">SUM(I151:I162)</f>
        <v>180.29490000000001</v>
      </c>
      <c r="J163" s="216">
        <f t="shared" ref="J163" si="406">SUM(J151:J162)</f>
        <v>183.05249999999998</v>
      </c>
      <c r="K163" s="216"/>
      <c r="L163" s="56"/>
      <c r="M163" s="3"/>
      <c r="N163" s="43" t="s">
        <v>14</v>
      </c>
      <c r="O163" s="46">
        <f t="shared" ref="O163" si="407">+AVERAGE(O151:O162)</f>
        <v>216.08801050000011</v>
      </c>
      <c r="P163" s="46">
        <f>+AVERAGE(P151:P162)</f>
        <v>206.11812408333333</v>
      </c>
      <c r="Q163" s="46">
        <f t="shared" ref="Q163:W163" si="408">+AVERAGE(Q151:Q162)</f>
        <v>191.70160833333333</v>
      </c>
      <c r="R163" s="46">
        <f t="shared" si="408"/>
        <v>205.35394166666666</v>
      </c>
      <c r="S163" s="46">
        <f t="shared" si="408"/>
        <v>236.16227500000005</v>
      </c>
      <c r="T163" s="46">
        <f t="shared" si="408"/>
        <v>265.78494999999998</v>
      </c>
      <c r="U163" s="226">
        <f t="shared" si="408"/>
        <v>253.11765000000003</v>
      </c>
      <c r="V163" s="226">
        <f t="shared" si="408"/>
        <v>200.5282583333333</v>
      </c>
      <c r="W163" s="220">
        <f t="shared" si="408"/>
        <v>179.38677500000003</v>
      </c>
      <c r="X163" s="197">
        <f t="shared" ref="X163" si="409">+AVERAGE(X151:X162)</f>
        <v>178.69644285714284</v>
      </c>
      <c r="Y163" s="79">
        <f>+X163/W163-1</f>
        <v>-3.8482889435812462E-3</v>
      </c>
      <c r="Z163" s="75">
        <f>+POWER(X163/S163,0.2)-1</f>
        <v>-5.4239706594074621E-2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10">+D163/C163-1</f>
        <v>-1.0668932851513935E-2</v>
      </c>
      <c r="E164" s="62">
        <f t="shared" si="410"/>
        <v>9.6400677487970432E-2</v>
      </c>
      <c r="F164" s="62">
        <f t="shared" si="410"/>
        <v>0.22094735821764999</v>
      </c>
      <c r="G164" s="62">
        <f t="shared" si="410"/>
        <v>3.1648521052124456E-2</v>
      </c>
      <c r="H164" s="62">
        <f t="shared" si="410"/>
        <v>-0.13644106736599093</v>
      </c>
      <c r="I164" s="62">
        <f t="shared" si="410"/>
        <v>-0.22005463665327785</v>
      </c>
      <c r="J164" s="190">
        <f t="shared" si="410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11">+Q163/P163-1</f>
        <v>-6.9942979609941669E-2</v>
      </c>
      <c r="R164" s="50">
        <f t="shared" si="411"/>
        <v>7.1216582124832728E-2</v>
      </c>
      <c r="S164" s="50">
        <f t="shared" si="411"/>
        <v>0.15002552706459316</v>
      </c>
      <c r="T164" s="50">
        <f t="shared" si="411"/>
        <v>0.12543356046176268</v>
      </c>
      <c r="U164" s="62">
        <f t="shared" si="411"/>
        <v>-4.7659959677927466E-2</v>
      </c>
      <c r="V164" s="62">
        <f t="shared" ref="V164" si="412">+V163/U163-1</f>
        <v>-0.20776659259702646</v>
      </c>
      <c r="W164" s="70">
        <f t="shared" ref="W164:X164" si="413">+W163/V163-1</f>
        <v>-0.10542894806471759</v>
      </c>
      <c r="X164" s="73">
        <f t="shared" si="413"/>
        <v>-3.8482889435812462E-3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14">+C167+1</f>
        <v>2018</v>
      </c>
      <c r="E167" s="82">
        <f t="shared" ref="E167" si="415">+D167+1</f>
        <v>2019</v>
      </c>
      <c r="F167" s="82">
        <f t="shared" ref="F167" si="416">+E167+1</f>
        <v>2020</v>
      </c>
      <c r="G167" s="82">
        <f t="shared" ref="G167" si="417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418">+P167+1</f>
        <v>2018</v>
      </c>
      <c r="R167" s="82">
        <f t="shared" ref="R167" si="419">+Q167+1</f>
        <v>2019</v>
      </c>
      <c r="S167" s="82">
        <f t="shared" ref="S167" si="420">+R167+1</f>
        <v>2020</v>
      </c>
      <c r="T167" s="82">
        <f t="shared" ref="T167" si="421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22">+SUM(C168)+SUM(B169:B179)</f>
        <v>486.27804000000003</v>
      </c>
      <c r="Q168" s="6">
        <f t="shared" si="422"/>
        <v>475.75100000000003</v>
      </c>
      <c r="R168" s="6">
        <f t="shared" si="422"/>
        <v>486.10700000000003</v>
      </c>
      <c r="S168" s="6">
        <f t="shared" si="422"/>
        <v>475.99500000000006</v>
      </c>
      <c r="T168" s="6">
        <f t="shared" si="422"/>
        <v>462.42500000000001</v>
      </c>
      <c r="U168" s="6">
        <f t="shared" si="422"/>
        <v>528.22199999999998</v>
      </c>
      <c r="V168" s="6">
        <f t="shared" si="422"/>
        <v>489.85046999999992</v>
      </c>
      <c r="W168" s="105">
        <f t="shared" si="422"/>
        <v>419.78300000000002</v>
      </c>
      <c r="X168" s="90">
        <f t="shared" si="422"/>
        <v>430.79700000000003</v>
      </c>
      <c r="Y168" s="117">
        <f t="shared" ref="Y168:Y169" si="423">+X168/W168-1</f>
        <v>2.6237365495982434E-2</v>
      </c>
      <c r="Z168" s="113">
        <f t="shared" ref="Z168:Z169" si="424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25">+SUM(C168:C169)+SUM(B170:B179)</f>
        <v>478.91455999999999</v>
      </c>
      <c r="Q169" s="6">
        <f t="shared" si="425"/>
        <v>482.476</v>
      </c>
      <c r="R169" s="6">
        <f t="shared" si="425"/>
        <v>488.26600000000002</v>
      </c>
      <c r="S169" s="6">
        <f t="shared" si="425"/>
        <v>471.97900000000004</v>
      </c>
      <c r="T169" s="6">
        <f t="shared" si="425"/>
        <v>469.22599999999994</v>
      </c>
      <c r="U169" s="6">
        <f t="shared" si="425"/>
        <v>530.71720000000005</v>
      </c>
      <c r="V169" s="6">
        <f t="shared" si="425"/>
        <v>476.55926999999997</v>
      </c>
      <c r="W169" s="105">
        <f t="shared" si="425"/>
        <v>422.60399999999998</v>
      </c>
      <c r="X169" s="90">
        <f t="shared" si="425"/>
        <v>430.291</v>
      </c>
      <c r="Y169" s="117">
        <f t="shared" si="423"/>
        <v>1.8189605398907682E-2</v>
      </c>
      <c r="Z169" s="113">
        <f t="shared" si="424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26">+SUM(C168:C170)+SUM(B171:B179)</f>
        <v>478.27336999999994</v>
      </c>
      <c r="Q170" s="6">
        <f t="shared" si="426"/>
        <v>483.15700000000004</v>
      </c>
      <c r="R170" s="6">
        <f t="shared" si="426"/>
        <v>484.33100000000002</v>
      </c>
      <c r="S170" s="6">
        <f t="shared" si="426"/>
        <v>469.524</v>
      </c>
      <c r="T170" s="6">
        <f t="shared" si="426"/>
        <v>478.97199999999998</v>
      </c>
      <c r="U170" s="6">
        <f t="shared" si="426"/>
        <v>531.87940000000003</v>
      </c>
      <c r="V170" s="6">
        <f t="shared" si="426"/>
        <v>470.82706999999999</v>
      </c>
      <c r="W170" s="105">
        <f t="shared" si="426"/>
        <v>417.42399999999998</v>
      </c>
      <c r="X170" s="90">
        <f t="shared" ref="X170" si="427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28">+SUM(C168:C171)+SUM(B172:B179)</f>
        <v>474.60085999999995</v>
      </c>
      <c r="Q171" s="6">
        <f t="shared" si="428"/>
        <v>483.19299999999998</v>
      </c>
      <c r="R171" s="6">
        <f t="shared" si="428"/>
        <v>488.48400000000004</v>
      </c>
      <c r="S171" s="6">
        <f t="shared" si="428"/>
        <v>465.88799999999998</v>
      </c>
      <c r="T171" s="6">
        <f t="shared" si="428"/>
        <v>483.64600000000002</v>
      </c>
      <c r="U171" s="6">
        <f t="shared" si="428"/>
        <v>531.54279999999994</v>
      </c>
      <c r="V171" s="6">
        <f t="shared" si="428"/>
        <v>461.11766999999998</v>
      </c>
      <c r="W171" s="105">
        <f t="shared" si="428"/>
        <v>424.35100000000006</v>
      </c>
      <c r="X171" s="90">
        <f t="shared" ref="X171" si="429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30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31">+SUM(C168:C172)+SUM(B173:B179)</f>
        <v>474.15642000000003</v>
      </c>
      <c r="Q172" s="6">
        <f t="shared" si="431"/>
        <v>486.63400000000001</v>
      </c>
      <c r="R172" s="6">
        <f t="shared" si="431"/>
        <v>488.71899999999999</v>
      </c>
      <c r="S172" s="6">
        <f t="shared" si="431"/>
        <v>457.78800000000001</v>
      </c>
      <c r="T172" s="6">
        <f t="shared" si="431"/>
        <v>492.44</v>
      </c>
      <c r="U172" s="6">
        <f t="shared" si="431"/>
        <v>531.23599999999999</v>
      </c>
      <c r="V172" s="6">
        <f t="shared" si="431"/>
        <v>454.62046999999995</v>
      </c>
      <c r="W172" s="105">
        <f t="shared" si="431"/>
        <v>423.10700000000003</v>
      </c>
      <c r="X172" s="90">
        <f t="shared" ref="X172" si="432">+SUM(K168:K172)+SUM(J173:J179)</f>
        <v>420.11999999999995</v>
      </c>
      <c r="Y172" s="117">
        <f t="shared" ref="Y172:Y174" si="433">+X172/W172-1</f>
        <v>-7.0596799391172693E-3</v>
      </c>
      <c r="Z172" s="113">
        <f t="shared" ref="Z172:Z174" si="434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30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35">+SUM(C168:C173)+SUM(B174:B179)</f>
        <v>478.66609000000005</v>
      </c>
      <c r="Q173" s="6">
        <f t="shared" si="435"/>
        <v>484.52600000000001</v>
      </c>
      <c r="R173" s="6">
        <f t="shared" si="435"/>
        <v>487.887</v>
      </c>
      <c r="S173" s="6">
        <f t="shared" si="435"/>
        <v>455.60300000000001</v>
      </c>
      <c r="T173" s="6">
        <f t="shared" si="435"/>
        <v>506.142</v>
      </c>
      <c r="U173" s="6">
        <f t="shared" si="435"/>
        <v>530.99596999999994</v>
      </c>
      <c r="V173" s="6">
        <f t="shared" si="435"/>
        <v>440.24450000000002</v>
      </c>
      <c r="W173" s="105">
        <f t="shared" si="435"/>
        <v>414.20800000000003</v>
      </c>
      <c r="X173" s="90">
        <f t="shared" ref="X173" si="436">+SUM(K168:K173)+SUM(J174:J179)</f>
        <v>428.21600000000001</v>
      </c>
      <c r="Y173" s="117">
        <f t="shared" si="433"/>
        <v>3.3818757725587067E-2</v>
      </c>
      <c r="Z173" s="113">
        <f t="shared" si="434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437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38">+SUM(C168:C174)+SUM(B175:B179)</f>
        <v>483.17200000000003</v>
      </c>
      <c r="Q174" s="6">
        <f t="shared" si="438"/>
        <v>490.774</v>
      </c>
      <c r="R174" s="6">
        <f t="shared" si="438"/>
        <v>481.35599999999999</v>
      </c>
      <c r="S174" s="6">
        <f t="shared" si="438"/>
        <v>460.56399999999996</v>
      </c>
      <c r="T174" s="6">
        <f t="shared" si="438"/>
        <v>510.37099999999998</v>
      </c>
      <c r="U174" s="6">
        <f t="shared" si="438"/>
        <v>520.14122999999995</v>
      </c>
      <c r="V174" s="6">
        <f t="shared" si="438"/>
        <v>435.84123999999997</v>
      </c>
      <c r="W174" s="105">
        <f t="shared" si="438"/>
        <v>427.94799999999998</v>
      </c>
      <c r="X174" s="90">
        <f t="shared" ref="X174" si="439">+SUM(K168:K174)+SUM(J175:J179)</f>
        <v>420.00200000000001</v>
      </c>
      <c r="Y174" s="117">
        <f t="shared" si="433"/>
        <v>-1.8567676446671011E-2</v>
      </c>
      <c r="Z174" s="113">
        <f t="shared" si="434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/>
      <c r="L175" s="113"/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40">+SUM(C168:C175)+SUM(B176:B179)</f>
        <v>482.21435000000002</v>
      </c>
      <c r="Q175" s="6">
        <f t="shared" si="440"/>
        <v>488.65599999999995</v>
      </c>
      <c r="R175" s="6">
        <f t="shared" si="440"/>
        <v>481.11799999999999</v>
      </c>
      <c r="S175" s="6">
        <f t="shared" si="440"/>
        <v>452.44899999999996</v>
      </c>
      <c r="T175" s="6">
        <f t="shared" si="440"/>
        <v>515.31000000000006</v>
      </c>
      <c r="U175" s="6">
        <f t="shared" si="440"/>
        <v>523.56740999999988</v>
      </c>
      <c r="V175" s="6">
        <f t="shared" si="440"/>
        <v>427.43205999999998</v>
      </c>
      <c r="W175" s="105">
        <f t="shared" si="440"/>
        <v>432.64800000000002</v>
      </c>
      <c r="X175" s="105"/>
      <c r="Y175" s="117"/>
      <c r="Z175" s="113"/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/>
      <c r="L176" s="113"/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441">+SUM(C168:C176)+SUM(B177:B179)</f>
        <v>478.34228000000007</v>
      </c>
      <c r="Q176" s="6">
        <f t="shared" si="441"/>
        <v>484.43900000000002</v>
      </c>
      <c r="R176" s="6">
        <f t="shared" si="441"/>
        <v>481.37099999999998</v>
      </c>
      <c r="S176" s="6">
        <f t="shared" si="441"/>
        <v>457.29399999999998</v>
      </c>
      <c r="T176" s="6">
        <f t="shared" si="441"/>
        <v>523.84500000000003</v>
      </c>
      <c r="U176" s="6">
        <f t="shared" si="441"/>
        <v>518.31572999999992</v>
      </c>
      <c r="V176" s="6">
        <f t="shared" si="441"/>
        <v>420.93974000000003</v>
      </c>
      <c r="W176" s="105">
        <f t="shared" si="441"/>
        <v>433.66800000000006</v>
      </c>
      <c r="X176" s="105"/>
      <c r="Y176" s="117"/>
      <c r="Z176" s="113"/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/>
      <c r="L177" s="113"/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442">+SUM(C168:C177)+SUM(B178:B179)</f>
        <v>481.37200000000007</v>
      </c>
      <c r="Q177" s="6">
        <f t="shared" si="442"/>
        <v>482.31100000000004</v>
      </c>
      <c r="R177" s="6">
        <f t="shared" si="442"/>
        <v>481.423</v>
      </c>
      <c r="S177" s="6">
        <f t="shared" si="442"/>
        <v>457.83999999999992</v>
      </c>
      <c r="T177" s="6">
        <f t="shared" si="442"/>
        <v>523.65000000000009</v>
      </c>
      <c r="U177" s="6">
        <f t="shared" si="442"/>
        <v>510.33846999999992</v>
      </c>
      <c r="V177" s="6">
        <f t="shared" si="442"/>
        <v>422.47199999999998</v>
      </c>
      <c r="W177" s="105">
        <f t="shared" si="442"/>
        <v>433.79200000000003</v>
      </c>
      <c r="X177" s="90"/>
      <c r="Y177" s="117"/>
      <c r="Z177" s="113"/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443">+SUM(C168:C178)+SUM(B179)</f>
        <v>481.28500000000003</v>
      </c>
      <c r="Q178" s="6">
        <f t="shared" si="443"/>
        <v>484.57300000000004</v>
      </c>
      <c r="R178" s="6">
        <f t="shared" si="443"/>
        <v>479.38299999999998</v>
      </c>
      <c r="S178" s="6">
        <f t="shared" si="443"/>
        <v>458.98799999999994</v>
      </c>
      <c r="T178" s="6">
        <f t="shared" si="443"/>
        <v>531.62099999999998</v>
      </c>
      <c r="U178" s="6">
        <f t="shared" si="443"/>
        <v>494.78246999999993</v>
      </c>
      <c r="V178" s="6">
        <f t="shared" si="443"/>
        <v>422.31799999999998</v>
      </c>
      <c r="W178" s="105">
        <f t="shared" si="443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444">+SUM(C168:C179)</f>
        <v>478.04200000000003</v>
      </c>
      <c r="Q179" s="6">
        <f t="shared" si="444"/>
        <v>483.51700000000005</v>
      </c>
      <c r="R179" s="6">
        <f t="shared" si="444"/>
        <v>476.87399999999997</v>
      </c>
      <c r="S179" s="6">
        <f t="shared" si="444"/>
        <v>460.34799999999996</v>
      </c>
      <c r="T179" s="6">
        <f t="shared" si="444"/>
        <v>535.00900000000001</v>
      </c>
      <c r="U179" s="6">
        <f t="shared" si="444"/>
        <v>489.48946999999993</v>
      </c>
      <c r="V179" s="6">
        <f t="shared" si="444"/>
        <v>422.733</v>
      </c>
      <c r="W179" s="105">
        <f t="shared" si="444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445">SUM(C168:C179)</f>
        <v>478.04200000000003</v>
      </c>
      <c r="D180" s="219">
        <f t="shared" si="445"/>
        <v>483.51700000000005</v>
      </c>
      <c r="E180" s="219">
        <f t="shared" si="445"/>
        <v>476.87399999999997</v>
      </c>
      <c r="F180" s="219">
        <f t="shared" si="445"/>
        <v>460.34799999999996</v>
      </c>
      <c r="G180" s="219">
        <f t="shared" ref="G180" si="446">SUM(G168:G179)</f>
        <v>535.00900000000001</v>
      </c>
      <c r="H180" s="219">
        <f t="shared" ref="H180" si="447">SUM(H168:H179)</f>
        <v>489.48946999999993</v>
      </c>
      <c r="I180" s="219">
        <f t="shared" ref="I180:J180" si="448">SUM(I168:I179)</f>
        <v>422.733</v>
      </c>
      <c r="J180" s="252">
        <f t="shared" si="448"/>
        <v>435.10900000000004</v>
      </c>
      <c r="K180" s="251"/>
      <c r="L180" s="173"/>
      <c r="M180" s="3"/>
      <c r="N180" s="92" t="s">
        <v>14</v>
      </c>
      <c r="O180" s="106">
        <f t="shared" ref="O180" si="449">+AVERAGE(O168:O179)</f>
        <v>462.39728215938339</v>
      </c>
      <c r="P180" s="83">
        <f>+AVERAGE(P168:P179)</f>
        <v>479.60974750000008</v>
      </c>
      <c r="Q180" s="83">
        <f t="shared" ref="Q180:U180" si="450">+AVERAGE(Q168:Q179)</f>
        <v>484.16724999999997</v>
      </c>
      <c r="R180" s="83">
        <f t="shared" si="450"/>
        <v>483.77658333333329</v>
      </c>
      <c r="S180" s="83">
        <f t="shared" si="450"/>
        <v>462.0216666666667</v>
      </c>
      <c r="T180" s="83">
        <f t="shared" si="450"/>
        <v>502.7214166666667</v>
      </c>
      <c r="U180" s="83">
        <f t="shared" si="450"/>
        <v>520.10234583333329</v>
      </c>
      <c r="V180" s="83">
        <f t="shared" ref="V180" si="451">+AVERAGE(V168:V179)</f>
        <v>445.41295749999995</v>
      </c>
      <c r="W180" s="107">
        <f t="shared" ref="W180:X180" si="452">+AVERAGE(W168:W179)</f>
        <v>426.80850000000009</v>
      </c>
      <c r="X180" s="93">
        <f t="shared" si="452"/>
        <v>425.64099999999996</v>
      </c>
      <c r="Y180" s="119">
        <f>+X180/W180-1</f>
        <v>-2.7354188119499412E-3</v>
      </c>
      <c r="Z180" s="173">
        <f>+POWER(X180/S180,0.2)-1</f>
        <v>-1.6269305570301817E-2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453">+C180/C$324</f>
        <v>0.64684359938189917</v>
      </c>
      <c r="D181" s="84">
        <f t="shared" si="453"/>
        <v>0.65569450998898871</v>
      </c>
      <c r="E181" s="84">
        <f t="shared" si="453"/>
        <v>0.6598770394826966</v>
      </c>
      <c r="F181" s="84">
        <f t="shared" si="453"/>
        <v>0.6452348982000341</v>
      </c>
      <c r="G181" s="84">
        <f t="shared" ref="G181" si="454">+G180/G$324</f>
        <v>0.65341498237030549</v>
      </c>
      <c r="H181" s="229">
        <f t="shared" ref="H181" si="455">+H180/H$324</f>
        <v>0.65184173554764535</v>
      </c>
      <c r="I181" s="84">
        <f t="shared" ref="I181:J181" si="456">+I180/I$324</f>
        <v>0.66334054629134176</v>
      </c>
      <c r="J181" s="109">
        <f t="shared" si="456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457">+P180/P$324</f>
        <v>0.64352171834446459</v>
      </c>
      <c r="Q181" s="84">
        <f t="shared" ref="Q181" si="458">+Q180/Q$324</f>
        <v>0.65445842222767914</v>
      </c>
      <c r="R181" s="84">
        <f t="shared" ref="R181" si="459">+R180/R$324</f>
        <v>0.65623355973748465</v>
      </c>
      <c r="S181" s="84">
        <f t="shared" ref="S181:V181" si="460">+S180/S$324</f>
        <v>0.65170181526412962</v>
      </c>
      <c r="T181" s="84">
        <f t="shared" si="460"/>
        <v>0.65277700830425445</v>
      </c>
      <c r="U181" s="84">
        <f t="shared" si="460"/>
        <v>0.65302846706621898</v>
      </c>
      <c r="V181" s="84">
        <f t="shared" si="460"/>
        <v>0.65240503765854829</v>
      </c>
      <c r="W181" s="109">
        <f t="shared" ref="W181:X181" si="461">+W180/W$324</f>
        <v>0.67127288188107848</v>
      </c>
      <c r="X181" s="96">
        <f t="shared" si="461"/>
        <v>0.6662272834399704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62">+D180/C180-1</f>
        <v>1.1452968567615462E-2</v>
      </c>
      <c r="E182" s="85">
        <f t="shared" ref="E182" si="463">+E180/D180-1</f>
        <v>-1.3738917142520513E-2</v>
      </c>
      <c r="F182" s="85">
        <f t="shared" ref="F182:J182" si="464">+F180/E180-1</f>
        <v>-3.4654856419096047E-2</v>
      </c>
      <c r="G182" s="85">
        <f t="shared" si="464"/>
        <v>0.16218382614891347</v>
      </c>
      <c r="H182" s="85">
        <f t="shared" si="464"/>
        <v>-8.5081802362203418E-2</v>
      </c>
      <c r="I182" s="85">
        <f t="shared" si="464"/>
        <v>-0.13637978770002945</v>
      </c>
      <c r="J182" s="85">
        <f t="shared" si="464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465">+Q180/P180-1</f>
        <v>9.5025226733946866E-3</v>
      </c>
      <c r="R182" s="85">
        <f t="shared" ref="R182" si="466">+R180/Q180-1</f>
        <v>-8.0688370943449161E-4</v>
      </c>
      <c r="S182" s="85">
        <f t="shared" ref="S182" si="467">+S180/R180-1</f>
        <v>-4.4968932801108585E-2</v>
      </c>
      <c r="T182" s="85">
        <f t="shared" ref="T182" si="468">+T180/S180-1</f>
        <v>8.8090565738258908E-2</v>
      </c>
      <c r="U182" s="85">
        <f t="shared" ref="U182:X182" si="469">+U180/T180-1</f>
        <v>3.4573679557780013E-2</v>
      </c>
      <c r="V182" s="85">
        <f t="shared" si="469"/>
        <v>-0.14360517488853541</v>
      </c>
      <c r="W182" s="111">
        <f t="shared" si="469"/>
        <v>-4.1769008257915075E-2</v>
      </c>
      <c r="X182" s="100">
        <f t="shared" si="469"/>
        <v>-2.7354188119499412E-3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470">+C185+1</f>
        <v>2018</v>
      </c>
      <c r="E185" s="82">
        <f t="shared" ref="E185" si="471">+D185+1</f>
        <v>2019</v>
      </c>
      <c r="F185" s="82">
        <f t="shared" ref="F185" si="472">+E185+1</f>
        <v>2020</v>
      </c>
      <c r="G185" s="82">
        <f t="shared" ref="G185" si="473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474">+P185+1</f>
        <v>2018</v>
      </c>
      <c r="R185" s="82">
        <f t="shared" ref="R185" si="475">+Q185+1</f>
        <v>2019</v>
      </c>
      <c r="S185" s="82">
        <f t="shared" ref="S185" si="476">+R185+1</f>
        <v>2020</v>
      </c>
      <c r="T185" s="82">
        <f t="shared" ref="T185" si="477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478">+SUM(C186)+SUM(B187:B197)</f>
        <v>77.118710000000007</v>
      </c>
      <c r="Q186" s="6">
        <f t="shared" si="478"/>
        <v>76.205000000000013</v>
      </c>
      <c r="R186" s="6">
        <f t="shared" si="478"/>
        <v>71.67</v>
      </c>
      <c r="S186" s="6">
        <f t="shared" si="478"/>
        <v>66.305999999999997</v>
      </c>
      <c r="T186" s="6">
        <f t="shared" si="478"/>
        <v>69.266000000000005</v>
      </c>
      <c r="U186" s="6">
        <f t="shared" si="478"/>
        <v>77.141000000000005</v>
      </c>
      <c r="V186" s="6">
        <f t="shared" si="478"/>
        <v>80.202339999999992</v>
      </c>
      <c r="W186" s="105">
        <f t="shared" si="478"/>
        <v>61.925000000000004</v>
      </c>
      <c r="X186" s="90">
        <f t="shared" si="478"/>
        <v>61.619000000000007</v>
      </c>
      <c r="Y186" s="117">
        <f t="shared" ref="Y186:Y187" si="479">+X186/W186-1</f>
        <v>-4.9414614452967243E-3</v>
      </c>
      <c r="Z186" s="113">
        <f t="shared" ref="Z186:Z187" si="480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481">+SUM(C186:C187)+SUM(B188:B197)</f>
        <v>77.213670000000008</v>
      </c>
      <c r="Q187" s="6">
        <f t="shared" si="481"/>
        <v>75.930999999999997</v>
      </c>
      <c r="R187" s="6">
        <f t="shared" si="481"/>
        <v>71.927999999999997</v>
      </c>
      <c r="S187" s="6">
        <f t="shared" si="481"/>
        <v>66.527999999999992</v>
      </c>
      <c r="T187" s="6">
        <f t="shared" si="481"/>
        <v>69.691000000000003</v>
      </c>
      <c r="U187" s="6">
        <f t="shared" si="481"/>
        <v>77.100999999999999</v>
      </c>
      <c r="V187" s="6">
        <f t="shared" si="481"/>
        <v>79.462339999999998</v>
      </c>
      <c r="W187" s="105">
        <f t="shared" si="481"/>
        <v>61.091999999999999</v>
      </c>
      <c r="X187" s="90">
        <f t="shared" si="481"/>
        <v>62.582999999999998</v>
      </c>
      <c r="Y187" s="117">
        <f t="shared" si="479"/>
        <v>2.4405814181889696E-2</v>
      </c>
      <c r="Z187" s="113">
        <f t="shared" si="480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482">+SUM(C186:C188)+SUM(B189:B197)</f>
        <v>78.257410000000007</v>
      </c>
      <c r="Q188" s="6">
        <f t="shared" si="482"/>
        <v>74.45</v>
      </c>
      <c r="R188" s="6">
        <f t="shared" si="482"/>
        <v>71.350999999999999</v>
      </c>
      <c r="S188" s="6">
        <f t="shared" si="482"/>
        <v>67.394000000000005</v>
      </c>
      <c r="T188" s="6">
        <f t="shared" si="482"/>
        <v>71.290999999999997</v>
      </c>
      <c r="U188" s="6">
        <f t="shared" si="482"/>
        <v>76.608699999999999</v>
      </c>
      <c r="V188" s="6">
        <f t="shared" si="482"/>
        <v>77.564639999999997</v>
      </c>
      <c r="W188" s="105">
        <f t="shared" si="482"/>
        <v>60.046000000000006</v>
      </c>
      <c r="X188" s="90">
        <f t="shared" ref="X188" si="483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484">+SUM(C186:C189)+SUM(B190:B197)</f>
        <v>77.179460000000006</v>
      </c>
      <c r="Q189" s="6">
        <f t="shared" si="484"/>
        <v>73.945999999999998</v>
      </c>
      <c r="R189" s="6">
        <f t="shared" si="484"/>
        <v>71.646999999999991</v>
      </c>
      <c r="S189" s="6">
        <f t="shared" si="484"/>
        <v>67.893000000000001</v>
      </c>
      <c r="T189" s="6">
        <f t="shared" si="484"/>
        <v>71.570000000000007</v>
      </c>
      <c r="U189" s="6">
        <f t="shared" si="484"/>
        <v>77.367000000000004</v>
      </c>
      <c r="V189" s="6">
        <f t="shared" si="484"/>
        <v>74.544340000000005</v>
      </c>
      <c r="W189" s="105">
        <f t="shared" si="484"/>
        <v>61.870000000000005</v>
      </c>
      <c r="X189" s="90">
        <f t="shared" ref="X189" si="485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486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487">+SUM(C186:C190)+SUM(B191:B197)</f>
        <v>76.783739999999995</v>
      </c>
      <c r="Q190" s="6">
        <f t="shared" si="487"/>
        <v>73.373999999999995</v>
      </c>
      <c r="R190" s="6">
        <f t="shared" si="487"/>
        <v>71.866</v>
      </c>
      <c r="S190" s="6">
        <f t="shared" si="487"/>
        <v>66.364999999999995</v>
      </c>
      <c r="T190" s="6">
        <f t="shared" si="487"/>
        <v>71.183000000000007</v>
      </c>
      <c r="U190" s="6">
        <f t="shared" si="487"/>
        <v>79.725859999999997</v>
      </c>
      <c r="V190" s="6">
        <f t="shared" si="487"/>
        <v>73.272480000000002</v>
      </c>
      <c r="W190" s="105">
        <f t="shared" si="487"/>
        <v>62.027999999999999</v>
      </c>
      <c r="X190" s="90">
        <f t="shared" ref="X190" si="488">+SUM(K186:K190)+SUM(J191:J197)</f>
        <v>63.618999999999993</v>
      </c>
      <c r="Y190" s="117">
        <f t="shared" ref="Y190:Y192" si="489">+X190/W190-1</f>
        <v>2.5649706584123244E-2</v>
      </c>
      <c r="Z190" s="113">
        <f t="shared" ref="Z190:Z192" si="490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486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491">+SUM(C186:C191)+SUM(B192:B197)</f>
        <v>78.426839999999999</v>
      </c>
      <c r="Q191" s="6">
        <f t="shared" si="491"/>
        <v>71.739999999999995</v>
      </c>
      <c r="R191" s="6">
        <f t="shared" si="491"/>
        <v>71.192000000000007</v>
      </c>
      <c r="S191" s="6">
        <f t="shared" si="491"/>
        <v>67.637</v>
      </c>
      <c r="T191" s="6">
        <f t="shared" si="491"/>
        <v>72.627999999999986</v>
      </c>
      <c r="U191" s="6">
        <f t="shared" si="491"/>
        <v>79.936099999999996</v>
      </c>
      <c r="V191" s="6">
        <f t="shared" si="491"/>
        <v>70.454239999999999</v>
      </c>
      <c r="W191" s="105">
        <f t="shared" si="491"/>
        <v>60.902000000000001</v>
      </c>
      <c r="X191" s="90">
        <f t="shared" ref="X191" si="492">+SUM(K186:K191)+SUM(J192:J197)</f>
        <v>64.460999999999999</v>
      </c>
      <c r="Y191" s="117">
        <f t="shared" si="489"/>
        <v>5.8438146530491508E-2</v>
      </c>
      <c r="Z191" s="113">
        <f t="shared" si="490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493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494">+SUM(C186:C192)+SUM(B193:B197)</f>
        <v>80.322020000000009</v>
      </c>
      <c r="Q192" s="6">
        <f t="shared" si="494"/>
        <v>72.562000000000012</v>
      </c>
      <c r="R192" s="6">
        <f t="shared" si="494"/>
        <v>70.456999999999994</v>
      </c>
      <c r="S192" s="6">
        <f t="shared" si="494"/>
        <v>66.762</v>
      </c>
      <c r="T192" s="6">
        <f t="shared" si="494"/>
        <v>73.900000000000006</v>
      </c>
      <c r="U192" s="6">
        <f t="shared" si="494"/>
        <v>79.367539999999991</v>
      </c>
      <c r="V192" s="6">
        <f t="shared" si="494"/>
        <v>70.941800000000001</v>
      </c>
      <c r="W192" s="105">
        <f t="shared" si="494"/>
        <v>61.266999999999996</v>
      </c>
      <c r="X192" s="90">
        <f t="shared" ref="X192" si="495">+SUM(K186:K192)+SUM(J193:J197)</f>
        <v>62.500999999999998</v>
      </c>
      <c r="Y192" s="117">
        <f t="shared" si="489"/>
        <v>2.0141348523674996E-2</v>
      </c>
      <c r="Z192" s="113">
        <f t="shared" si="490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/>
      <c r="L193" s="113"/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496">+SUM(C186:C193)+SUM(B194:B197)</f>
        <v>79.070339999999987</v>
      </c>
      <c r="Q193" s="6">
        <f t="shared" si="496"/>
        <v>72.704999999999998</v>
      </c>
      <c r="R193" s="6">
        <f t="shared" si="496"/>
        <v>68.837000000000003</v>
      </c>
      <c r="S193" s="6">
        <f t="shared" si="496"/>
        <v>66.094999999999999</v>
      </c>
      <c r="T193" s="6">
        <f t="shared" si="496"/>
        <v>75.555999999999997</v>
      </c>
      <c r="U193" s="6">
        <f t="shared" si="496"/>
        <v>80.293179999999992</v>
      </c>
      <c r="V193" s="6">
        <f t="shared" si="496"/>
        <v>69.422160000000005</v>
      </c>
      <c r="W193" s="105">
        <f t="shared" si="496"/>
        <v>60.22699999999999</v>
      </c>
      <c r="X193" s="105"/>
      <c r="Y193" s="117"/>
      <c r="Z193" s="113"/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/>
      <c r="L194" s="113"/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497">+SUM(C186:C194)+SUM(B195:B197)</f>
        <v>77.647679999999994</v>
      </c>
      <c r="Q194" s="6">
        <f t="shared" si="497"/>
        <v>72.360000000000014</v>
      </c>
      <c r="R194" s="6">
        <f t="shared" si="497"/>
        <v>68.048000000000002</v>
      </c>
      <c r="S194" s="6">
        <f t="shared" si="497"/>
        <v>68.88</v>
      </c>
      <c r="T194" s="6">
        <f t="shared" si="497"/>
        <v>75.762999999999991</v>
      </c>
      <c r="U194" s="6">
        <f t="shared" si="497"/>
        <v>78.81541</v>
      </c>
      <c r="V194" s="6">
        <f t="shared" si="497"/>
        <v>68.892930000000007</v>
      </c>
      <c r="W194" s="105">
        <f t="shared" si="497"/>
        <v>60.055999999999997</v>
      </c>
      <c r="X194" s="105"/>
      <c r="Y194" s="117"/>
      <c r="Z194" s="113"/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/>
      <c r="L195" s="113"/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498">+SUM(C186:C195)+SUM(B196:B197)</f>
        <v>77.519000000000005</v>
      </c>
      <c r="Q195" s="6">
        <f t="shared" si="498"/>
        <v>72.102000000000004</v>
      </c>
      <c r="R195" s="6">
        <f t="shared" si="498"/>
        <v>67.584000000000003</v>
      </c>
      <c r="S195" s="6">
        <f t="shared" si="498"/>
        <v>68.912000000000006</v>
      </c>
      <c r="T195" s="6">
        <f t="shared" si="498"/>
        <v>75.48899999999999</v>
      </c>
      <c r="U195" s="6">
        <f t="shared" si="498"/>
        <v>80.338339999999988</v>
      </c>
      <c r="V195" s="6">
        <f t="shared" si="498"/>
        <v>66.605000000000004</v>
      </c>
      <c r="W195" s="105">
        <f t="shared" si="498"/>
        <v>61.256999999999998</v>
      </c>
      <c r="X195" s="90"/>
      <c r="Y195" s="117"/>
      <c r="Z195" s="113"/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499">+SUM(C186:C196)+SUM(B197)</f>
        <v>77.504000000000005</v>
      </c>
      <c r="Q196" s="6">
        <f t="shared" si="499"/>
        <v>71.842000000000013</v>
      </c>
      <c r="R196" s="6">
        <f t="shared" si="499"/>
        <v>67.052000000000007</v>
      </c>
      <c r="S196" s="6">
        <f t="shared" si="499"/>
        <v>69.965000000000003</v>
      </c>
      <c r="T196" s="6">
        <f t="shared" si="499"/>
        <v>76.3</v>
      </c>
      <c r="U196" s="6">
        <f t="shared" si="499"/>
        <v>79.13333999999999</v>
      </c>
      <c r="V196" s="6">
        <f t="shared" si="499"/>
        <v>65.126000000000005</v>
      </c>
      <c r="W196" s="105">
        <f t="shared" si="499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500">+SUM(C186:C197)</f>
        <v>77.207000000000008</v>
      </c>
      <c r="Q197" s="6">
        <f t="shared" si="500"/>
        <v>71.283000000000001</v>
      </c>
      <c r="R197" s="6">
        <f t="shared" si="500"/>
        <v>66.745000000000005</v>
      </c>
      <c r="S197" s="6">
        <f t="shared" si="500"/>
        <v>69.725999999999999</v>
      </c>
      <c r="T197" s="6">
        <f t="shared" si="500"/>
        <v>77.594999999999999</v>
      </c>
      <c r="U197" s="6">
        <f t="shared" si="500"/>
        <v>78.906339999999986</v>
      </c>
      <c r="V197" s="6">
        <f t="shared" si="500"/>
        <v>63.995000000000005</v>
      </c>
      <c r="W197" s="105">
        <f t="shared" si="500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01">SUM(G186:G197)</f>
        <v>77.594999999999999</v>
      </c>
      <c r="H198" s="219">
        <f t="shared" si="501"/>
        <v>78.906339999999986</v>
      </c>
      <c r="I198" s="219">
        <f t="shared" si="501"/>
        <v>63.995000000000005</v>
      </c>
      <c r="J198" s="252">
        <f t="shared" ref="J198" si="502">SUM(J186:J197)</f>
        <v>61.783999999999999</v>
      </c>
      <c r="K198" s="251"/>
      <c r="L198" s="173"/>
      <c r="M198" s="3"/>
      <c r="N198" s="92" t="s">
        <v>14</v>
      </c>
      <c r="O198" s="106">
        <f t="shared" ref="O198:W198" si="503">+AVERAGE(O186:O197)</f>
        <v>76.348334263766688</v>
      </c>
      <c r="P198" s="83">
        <f t="shared" si="503"/>
        <v>77.854155833333337</v>
      </c>
      <c r="Q198" s="83">
        <f t="shared" si="503"/>
        <v>73.208333333333343</v>
      </c>
      <c r="R198" s="83">
        <f t="shared" si="503"/>
        <v>69.864750000000001</v>
      </c>
      <c r="S198" s="83">
        <f t="shared" si="503"/>
        <v>67.705250000000007</v>
      </c>
      <c r="T198" s="83">
        <f t="shared" si="503"/>
        <v>73.352666666666678</v>
      </c>
      <c r="U198" s="83">
        <f t="shared" si="503"/>
        <v>78.7278175</v>
      </c>
      <c r="V198" s="83">
        <f t="shared" si="503"/>
        <v>71.706939166666658</v>
      </c>
      <c r="W198" s="107">
        <f t="shared" si="503"/>
        <v>61.151666666666664</v>
      </c>
      <c r="X198" s="93">
        <f t="shared" ref="X198" si="504">+AVERAGE(X186:X197)</f>
        <v>63.236142857142852</v>
      </c>
      <c r="Y198" s="119">
        <f>+X198/W198-1</f>
        <v>3.4086989024167069E-2</v>
      </c>
      <c r="Z198" s="173">
        <f>+POWER(X198/S198,0.2)-1</f>
        <v>-1.356470023850942E-2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505">+C198/C$324</f>
        <v>0.10446959425631701</v>
      </c>
      <c r="D199" s="84">
        <f t="shared" ref="D199" si="506">+D198/D$324</f>
        <v>9.6666449691624232E-2</v>
      </c>
      <c r="E199" s="84">
        <f t="shared" ref="E199" si="507">+E198/E$324</f>
        <v>9.2358763531399476E-2</v>
      </c>
      <c r="F199" s="84">
        <f t="shared" ref="F199:G199" si="508">+F198/F$324</f>
        <v>9.7729649117397233E-2</v>
      </c>
      <c r="G199" s="84">
        <f t="shared" si="508"/>
        <v>9.4768004943886638E-2</v>
      </c>
      <c r="H199" s="229">
        <f t="shared" ref="H199:I199" si="509">+H198/H$324</f>
        <v>0.10507773662896688</v>
      </c>
      <c r="I199" s="84">
        <f t="shared" si="509"/>
        <v>0.10041912568906242</v>
      </c>
      <c r="J199" s="109">
        <f t="shared" ref="J199" si="510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511">+P198/P$324</f>
        <v>0.10446168036258351</v>
      </c>
      <c r="Q199" s="84">
        <f t="shared" ref="Q199" si="512">+Q198/Q$324</f>
        <v>9.8957148231837974E-2</v>
      </c>
      <c r="R199" s="84">
        <f t="shared" ref="R199" si="513">+R198/R$324</f>
        <v>9.4770179401344398E-2</v>
      </c>
      <c r="S199" s="84">
        <f t="shared" ref="S199:W199" si="514">+S198/S$324</f>
        <v>9.5501223235371469E-2</v>
      </c>
      <c r="T199" s="84">
        <f t="shared" si="514"/>
        <v>9.5247452585762893E-2</v>
      </c>
      <c r="U199" s="84">
        <f t="shared" si="514"/>
        <v>9.8848825407853211E-2</v>
      </c>
      <c r="V199" s="84">
        <f t="shared" si="514"/>
        <v>0.10503055099695521</v>
      </c>
      <c r="W199" s="109">
        <f t="shared" si="514"/>
        <v>9.6177689795691523E-2</v>
      </c>
      <c r="X199" s="96">
        <f t="shared" ref="X199" si="515">+X198/X$324</f>
        <v>9.8979289285891572E-2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16">+D198/C198-1</f>
        <v>-7.6728794021267532E-2</v>
      </c>
      <c r="E200" s="85">
        <f t="shared" ref="E200" si="517">+E198/D198-1</f>
        <v>-6.3661742631482943E-2</v>
      </c>
      <c r="F200" s="85">
        <f t="shared" ref="F200:J200" si="518">+F198/E198-1</f>
        <v>4.4662521537193633E-2</v>
      </c>
      <c r="G200" s="85">
        <f t="shared" si="518"/>
        <v>0.11285603648567255</v>
      </c>
      <c r="H200" s="85">
        <f t="shared" si="518"/>
        <v>1.6899800244861041E-2</v>
      </c>
      <c r="I200" s="85">
        <f t="shared" si="518"/>
        <v>-0.18897518247583123</v>
      </c>
      <c r="J200" s="85">
        <f t="shared" si="518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519">+Q198/P198-1</f>
        <v>-5.9673404075507031E-2</v>
      </c>
      <c r="R200" s="85">
        <f t="shared" ref="R200" si="520">+R198/Q198-1</f>
        <v>-4.5672168468981367E-2</v>
      </c>
      <c r="S200" s="85">
        <f t="shared" ref="S200" si="521">+S198/R198-1</f>
        <v>-3.0909721998575779E-2</v>
      </c>
      <c r="T200" s="85">
        <f t="shared" ref="T200" si="522">+T198/S198-1</f>
        <v>8.3411798444975371E-2</v>
      </c>
      <c r="U200" s="85">
        <f t="shared" ref="U200" si="523">+U198/T198-1</f>
        <v>7.3278192567413969E-2</v>
      </c>
      <c r="V200" s="85">
        <f t="shared" ref="V200" si="524">+V198/U198-1</f>
        <v>-8.9179130786057215E-2</v>
      </c>
      <c r="W200" s="111">
        <f t="shared" ref="W200:X200" si="525">+W198/V198-1</f>
        <v>-0.14720015416453125</v>
      </c>
      <c r="X200" s="100">
        <f t="shared" si="525"/>
        <v>3.4086989024167069E-2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26">+C203+1</f>
        <v>2018</v>
      </c>
      <c r="E203" s="82">
        <f t="shared" ref="E203" si="527">+D203+1</f>
        <v>2019</v>
      </c>
      <c r="F203" s="82">
        <f t="shared" ref="F203" si="528">+E203+1</f>
        <v>2020</v>
      </c>
      <c r="G203" s="82">
        <f t="shared" ref="G203" si="529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30">+P203+1</f>
        <v>2018</v>
      </c>
      <c r="R203" s="82">
        <f t="shared" ref="R203" si="531">+Q203+1</f>
        <v>2019</v>
      </c>
      <c r="S203" s="82">
        <f t="shared" ref="S203" si="532">+R203+1</f>
        <v>2020</v>
      </c>
      <c r="T203" s="82">
        <f t="shared" ref="T203" si="533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534">+SUM(C204)+SUM(B205:B215)</f>
        <v>7.613150000000001</v>
      </c>
      <c r="Q204" s="6">
        <f t="shared" si="534"/>
        <v>7.056</v>
      </c>
      <c r="R204" s="6">
        <f t="shared" si="534"/>
        <v>7.915</v>
      </c>
      <c r="S204" s="6">
        <f t="shared" si="534"/>
        <v>7.3370000000000006</v>
      </c>
      <c r="T204" s="6">
        <f t="shared" si="534"/>
        <v>8.4420000000000019</v>
      </c>
      <c r="U204" s="6">
        <f t="shared" si="534"/>
        <v>9.113999999999999</v>
      </c>
      <c r="V204" s="6">
        <f t="shared" si="534"/>
        <v>7.1708099999999995</v>
      </c>
      <c r="W204" s="105">
        <f t="shared" si="534"/>
        <v>5.6713300000000011</v>
      </c>
      <c r="X204" s="90">
        <f t="shared" si="534"/>
        <v>5.52</v>
      </c>
      <c r="Y204" s="117">
        <f t="shared" ref="Y204:Y205" si="535">+X204/W204-1</f>
        <v>-2.6683335302301492E-2</v>
      </c>
      <c r="Z204" s="113">
        <f t="shared" ref="Z204:Z205" si="536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537">+SUM(C204:C205)+SUM(B206:B215)</f>
        <v>7.5289100000000007</v>
      </c>
      <c r="Q205" s="6">
        <f t="shared" si="537"/>
        <v>7.101</v>
      </c>
      <c r="R205" s="6">
        <f t="shared" si="537"/>
        <v>7.9359999999999999</v>
      </c>
      <c r="S205" s="6">
        <f t="shared" si="537"/>
        <v>7.3769999999999989</v>
      </c>
      <c r="T205" s="6">
        <f t="shared" si="537"/>
        <v>8.5310000000000006</v>
      </c>
      <c r="U205" s="6">
        <f t="shared" si="537"/>
        <v>9.1209000000000007</v>
      </c>
      <c r="V205" s="6">
        <f t="shared" si="537"/>
        <v>6.7889099999999996</v>
      </c>
      <c r="W205" s="105">
        <f t="shared" si="537"/>
        <v>5.72933</v>
      </c>
      <c r="X205" s="90">
        <f t="shared" si="537"/>
        <v>5.4880000000000004</v>
      </c>
      <c r="Y205" s="117">
        <f t="shared" si="535"/>
        <v>-4.2121853689698341E-2</v>
      </c>
      <c r="Z205" s="113">
        <f t="shared" si="536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538">+SUM(C204:C206)+SUM(B207:B215)</f>
        <v>7.8270700000000009</v>
      </c>
      <c r="Q206" s="6">
        <f t="shared" si="538"/>
        <v>6.8330000000000002</v>
      </c>
      <c r="R206" s="6">
        <f t="shared" si="538"/>
        <v>7.8040000000000003</v>
      </c>
      <c r="S206" s="6">
        <f t="shared" si="538"/>
        <v>7.4779999999999998</v>
      </c>
      <c r="T206" s="6">
        <f t="shared" si="538"/>
        <v>9.0649999999999995</v>
      </c>
      <c r="U206" s="6">
        <f t="shared" si="538"/>
        <v>8.8740999999999985</v>
      </c>
      <c r="V206" s="6">
        <f t="shared" si="538"/>
        <v>6.6067099999999996</v>
      </c>
      <c r="W206" s="105">
        <f t="shared" si="538"/>
        <v>5.3573300000000001</v>
      </c>
      <c r="X206" s="90">
        <f t="shared" ref="X206" si="539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540">+SUM(C204:C207)+SUM(B208:B215)</f>
        <v>7.4254300000000004</v>
      </c>
      <c r="Q207" s="6">
        <f t="shared" si="540"/>
        <v>6.8090000000000002</v>
      </c>
      <c r="R207" s="6">
        <f t="shared" si="540"/>
        <v>7.9630000000000001</v>
      </c>
      <c r="S207" s="6">
        <f t="shared" si="540"/>
        <v>7.496999999999999</v>
      </c>
      <c r="T207" s="6">
        <f t="shared" si="540"/>
        <v>9.0790000000000006</v>
      </c>
      <c r="U207" s="6">
        <f t="shared" si="540"/>
        <v>8.7805</v>
      </c>
      <c r="V207" s="6">
        <f t="shared" si="540"/>
        <v>6.4556399999999998</v>
      </c>
      <c r="W207" s="105">
        <f t="shared" si="540"/>
        <v>5.7650000000000006</v>
      </c>
      <c r="X207" s="90">
        <f t="shared" ref="X207" si="541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542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543">+SUM(C204:C208)+SUM(B209:B215)</f>
        <v>7.3420600000000009</v>
      </c>
      <c r="Q208" s="6">
        <f t="shared" si="543"/>
        <v>7.07</v>
      </c>
      <c r="R208" s="6">
        <f t="shared" si="543"/>
        <v>8.2029999999999994</v>
      </c>
      <c r="S208" s="6">
        <f t="shared" si="543"/>
        <v>7.4290000000000003</v>
      </c>
      <c r="T208" s="6">
        <f t="shared" si="543"/>
        <v>8.9959999999999987</v>
      </c>
      <c r="U208" s="6">
        <f t="shared" si="543"/>
        <v>8.5734400000000015</v>
      </c>
      <c r="V208" s="6">
        <f t="shared" si="543"/>
        <v>6.3357000000000001</v>
      </c>
      <c r="W208" s="105">
        <f t="shared" si="543"/>
        <v>5.681</v>
      </c>
      <c r="X208" s="90">
        <f t="shared" ref="X208" si="544">+SUM(K204:K208)+SUM(J209:J215)</f>
        <v>4.8410000000000002</v>
      </c>
      <c r="Y208" s="117">
        <f t="shared" ref="Y208:Y210" si="545">+X208/W208-1</f>
        <v>-0.14786129202605169</v>
      </c>
      <c r="Z208" s="113">
        <f t="shared" ref="Z208:Z210" si="546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542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547">+SUM(C204:C209)+SUM(B210:B215)</f>
        <v>7.0757399999999997</v>
      </c>
      <c r="Q209" s="6">
        <f t="shared" si="547"/>
        <v>7.2060000000000004</v>
      </c>
      <c r="R209" s="6">
        <f t="shared" si="547"/>
        <v>8.1319999999999997</v>
      </c>
      <c r="S209" s="6">
        <f t="shared" si="547"/>
        <v>7.5490000000000004</v>
      </c>
      <c r="T209" s="6">
        <f t="shared" si="547"/>
        <v>9.1879999999999988</v>
      </c>
      <c r="U209" s="6">
        <f t="shared" si="547"/>
        <v>8.5185600000000008</v>
      </c>
      <c r="V209" s="6">
        <f t="shared" si="547"/>
        <v>5.965580000000001</v>
      </c>
      <c r="W209" s="105">
        <f t="shared" si="547"/>
        <v>5.4789999999999992</v>
      </c>
      <c r="X209" s="90">
        <f t="shared" ref="X209" si="548">+SUM(K204:K209)+SUM(J210:J215)</f>
        <v>4.8789999999999996</v>
      </c>
      <c r="Y209" s="117">
        <f t="shared" si="545"/>
        <v>-0.10950903449534577</v>
      </c>
      <c r="Z209" s="113">
        <f t="shared" si="546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549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550">+SUM(C204:C210)+SUM(B211:B215)</f>
        <v>7.1218500000000002</v>
      </c>
      <c r="Q210" s="6">
        <f t="shared" si="550"/>
        <v>7.16</v>
      </c>
      <c r="R210" s="6">
        <f t="shared" si="550"/>
        <v>8.3030000000000008</v>
      </c>
      <c r="S210" s="6">
        <f t="shared" si="550"/>
        <v>7.6290000000000004</v>
      </c>
      <c r="T210" s="6">
        <f t="shared" si="550"/>
        <v>8.838000000000001</v>
      </c>
      <c r="U210" s="6">
        <f t="shared" si="550"/>
        <v>8.5314000000000014</v>
      </c>
      <c r="V210" s="6">
        <f t="shared" si="550"/>
        <v>6.3787400000000005</v>
      </c>
      <c r="W210" s="105">
        <f t="shared" si="550"/>
        <v>5.0729999999999995</v>
      </c>
      <c r="X210" s="90">
        <f t="shared" ref="X210" si="551">+SUM(K204:K210)+SUM(J211:J215)</f>
        <v>4.7270000000000003</v>
      </c>
      <c r="Y210" s="117">
        <f t="shared" si="545"/>
        <v>-6.8204218411196393E-2</v>
      </c>
      <c r="Z210" s="113">
        <f t="shared" si="546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90"/>
      <c r="L211" s="113"/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552">+SUM(C204:C211)+SUM(B212:B215)</f>
        <v>7.3025199999999995</v>
      </c>
      <c r="Q211" s="6">
        <f t="shared" si="552"/>
        <v>7.4340000000000011</v>
      </c>
      <c r="R211" s="6">
        <f t="shared" si="552"/>
        <v>7.8890000000000002</v>
      </c>
      <c r="S211" s="6">
        <f t="shared" si="552"/>
        <v>7.9410000000000007</v>
      </c>
      <c r="T211" s="6">
        <f t="shared" si="552"/>
        <v>8.9929999999999986</v>
      </c>
      <c r="U211" s="6">
        <f t="shared" si="552"/>
        <v>8.1412600000000008</v>
      </c>
      <c r="V211" s="6">
        <f t="shared" si="552"/>
        <v>6.3168800000000003</v>
      </c>
      <c r="W211" s="105">
        <f t="shared" si="552"/>
        <v>4.766</v>
      </c>
      <c r="X211" s="105"/>
      <c r="Y211" s="117"/>
      <c r="Z211" s="113"/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90"/>
      <c r="L212" s="113"/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553">+SUM(C204:C212)+SUM(B213:B215)</f>
        <v>7.3486700000000003</v>
      </c>
      <c r="Q212" s="6">
        <f t="shared" si="553"/>
        <v>7.3239999999999998</v>
      </c>
      <c r="R212" s="6">
        <f t="shared" si="553"/>
        <v>7.766</v>
      </c>
      <c r="S212" s="6">
        <f t="shared" si="553"/>
        <v>8.3210000000000015</v>
      </c>
      <c r="T212" s="6">
        <f t="shared" si="553"/>
        <v>9.1809999999999992</v>
      </c>
      <c r="U212" s="6">
        <f t="shared" si="553"/>
        <v>7.5872900000000012</v>
      </c>
      <c r="V212" s="6">
        <f t="shared" si="553"/>
        <v>6.283850000000001</v>
      </c>
      <c r="W212" s="105">
        <f t="shared" si="553"/>
        <v>4.6649999999999991</v>
      </c>
      <c r="X212" s="105"/>
      <c r="Y212" s="117"/>
      <c r="Z212" s="113"/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90"/>
      <c r="L213" s="113"/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554">+SUM(C204:C213)+SUM(B214:B215)</f>
        <v>7.0380000000000003</v>
      </c>
      <c r="Q213" s="6">
        <f t="shared" si="554"/>
        <v>7.4879999999999995</v>
      </c>
      <c r="R213" s="6">
        <f t="shared" si="554"/>
        <v>7.6219999999999999</v>
      </c>
      <c r="S213" s="6">
        <f t="shared" si="554"/>
        <v>8.5389999999999997</v>
      </c>
      <c r="T213" s="6">
        <f t="shared" si="554"/>
        <v>8.8740000000000006</v>
      </c>
      <c r="U213" s="6">
        <f t="shared" si="554"/>
        <v>7.4908100000000015</v>
      </c>
      <c r="V213" s="6">
        <f t="shared" si="554"/>
        <v>6.2563300000000011</v>
      </c>
      <c r="W213" s="105">
        <f t="shared" si="554"/>
        <v>5.1479999999999997</v>
      </c>
      <c r="X213" s="90"/>
      <c r="Y213" s="117"/>
      <c r="Z213" s="113"/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555">+SUM(C204:C214)+SUM(B215)</f>
        <v>7.0380000000000003</v>
      </c>
      <c r="Q214" s="6">
        <f t="shared" si="555"/>
        <v>7.64</v>
      </c>
      <c r="R214" s="6">
        <f t="shared" si="555"/>
        <v>7.5759999999999996</v>
      </c>
      <c r="S214" s="6">
        <f t="shared" si="555"/>
        <v>8.6609999999999996</v>
      </c>
      <c r="T214" s="6">
        <f t="shared" si="555"/>
        <v>8.8050000000000015</v>
      </c>
      <c r="U214" s="6">
        <f t="shared" si="555"/>
        <v>7.6298100000000009</v>
      </c>
      <c r="V214" s="6">
        <f t="shared" si="555"/>
        <v>5.9013300000000006</v>
      </c>
      <c r="W214" s="105">
        <f t="shared" si="555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556">+SUM(C204:C215)</f>
        <v>6.8449999999999998</v>
      </c>
      <c r="Q215" s="6">
        <f t="shared" si="556"/>
        <v>8.0269999999999992</v>
      </c>
      <c r="R215" s="6">
        <f t="shared" si="556"/>
        <v>7.3509999999999991</v>
      </c>
      <c r="S215" s="6">
        <f t="shared" si="556"/>
        <v>8.6780000000000008</v>
      </c>
      <c r="T215" s="6">
        <f t="shared" si="556"/>
        <v>9.0380000000000003</v>
      </c>
      <c r="U215" s="6">
        <f t="shared" si="556"/>
        <v>7.2178100000000009</v>
      </c>
      <c r="V215" s="6">
        <f t="shared" si="556"/>
        <v>5.7623300000000013</v>
      </c>
      <c r="W215" s="105">
        <f t="shared" si="556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557">SUM(C204:C215)</f>
        <v>6.8449999999999998</v>
      </c>
      <c r="D216" s="219">
        <f t="shared" si="557"/>
        <v>8.0269999999999992</v>
      </c>
      <c r="E216" s="219">
        <f t="shared" si="557"/>
        <v>7.3509999999999991</v>
      </c>
      <c r="F216" s="219">
        <f t="shared" si="557"/>
        <v>8.6780000000000008</v>
      </c>
      <c r="G216" s="219">
        <f t="shared" si="557"/>
        <v>9.0380000000000003</v>
      </c>
      <c r="H216" s="219">
        <f t="shared" ref="H216:I216" si="558">SUM(H204:H215)</f>
        <v>7.2178100000000009</v>
      </c>
      <c r="I216" s="219">
        <f t="shared" si="558"/>
        <v>5.7623300000000013</v>
      </c>
      <c r="J216" s="252">
        <f t="shared" ref="J216" si="559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560">+AVERAGE(Q204:Q215)</f>
        <v>7.2623333333333333</v>
      </c>
      <c r="R216" s="83">
        <f t="shared" si="560"/>
        <v>7.8716666666666661</v>
      </c>
      <c r="S216" s="83">
        <f t="shared" si="560"/>
        <v>7.8696666666666673</v>
      </c>
      <c r="T216" s="83">
        <f t="shared" si="560"/>
        <v>8.9191666666666674</v>
      </c>
      <c r="U216" s="83">
        <f t="shared" si="560"/>
        <v>8.2983233333333342</v>
      </c>
      <c r="V216" s="83">
        <f t="shared" si="560"/>
        <v>6.3519008333333344</v>
      </c>
      <c r="W216" s="107">
        <f t="shared" si="560"/>
        <v>5.3963324999999998</v>
      </c>
      <c r="X216" s="93">
        <f t="shared" ref="X216" si="561">+AVERAGE(X204:X215)</f>
        <v>5.0932857142857131</v>
      </c>
      <c r="Y216" s="119">
        <f>+X216/W216-1</f>
        <v>-5.6157915716699591E-2</v>
      </c>
      <c r="Z216" s="173">
        <f>+POWER(X216/S216,0.2)-1</f>
        <v>-8.3339873893996441E-2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562">+C216/C$324</f>
        <v>9.2620406528487031E-3</v>
      </c>
      <c r="D217" s="84">
        <f t="shared" ref="D217" si="563">+D216/D$324</f>
        <v>1.0885366660699853E-2</v>
      </c>
      <c r="E217" s="84">
        <f t="shared" ref="E217" si="564">+E216/E$324</f>
        <v>1.0171986976092852E-2</v>
      </c>
      <c r="F217" s="84">
        <f t="shared" ref="F217:G217" si="565">+F216/F$324</f>
        <v>1.216329482604442E-2</v>
      </c>
      <c r="G217" s="84">
        <f t="shared" si="565"/>
        <v>1.1038252834368807E-2</v>
      </c>
      <c r="H217" s="229">
        <f t="shared" ref="H217:I217" si="566">+H216/H$324</f>
        <v>9.6117896004037657E-3</v>
      </c>
      <c r="I217" s="84">
        <f t="shared" si="566"/>
        <v>9.0420836085921569E-3</v>
      </c>
      <c r="J217" s="109">
        <f t="shared" ref="J217" si="567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568">+P216/P$324</f>
        <v>9.7843905362067392E-3</v>
      </c>
      <c r="Q217" s="84">
        <f t="shared" ref="Q217" si="569">+Q216/Q$324</f>
        <v>9.816639219246687E-3</v>
      </c>
      <c r="R217" s="84">
        <f t="shared" ref="R217" si="570">+R216/R$324</f>
        <v>1.0677763281019149E-2</v>
      </c>
      <c r="S217" s="84">
        <f t="shared" ref="S217:W217" si="571">+S216/S$324</f>
        <v>1.1100509829315968E-2</v>
      </c>
      <c r="T217" s="84">
        <f t="shared" si="571"/>
        <v>1.1581418137779813E-2</v>
      </c>
      <c r="U217" s="84">
        <f t="shared" si="571"/>
        <v>1.0419182703173262E-2</v>
      </c>
      <c r="V217" s="84">
        <f t="shared" si="571"/>
        <v>9.3037529164701014E-3</v>
      </c>
      <c r="W217" s="109">
        <f t="shared" si="571"/>
        <v>8.4872060159615469E-3</v>
      </c>
      <c r="X217" s="96">
        <f t="shared" ref="X217" si="572">+X216/X$324</f>
        <v>7.9721782093646523E-3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73">+D216/C216-1</f>
        <v>0.172680788897005</v>
      </c>
      <c r="E218" s="85">
        <f t="shared" ref="E218" si="574">+E216/D216-1</f>
        <v>-8.4215771770275394E-2</v>
      </c>
      <c r="F218" s="85">
        <f t="shared" ref="F218:J218" si="575">+F216/E216-1</f>
        <v>0.18051965718949825</v>
      </c>
      <c r="G218" s="85">
        <f t="shared" si="575"/>
        <v>4.1484212952292987E-2</v>
      </c>
      <c r="H218" s="85">
        <f t="shared" si="575"/>
        <v>-0.20139300730250043</v>
      </c>
      <c r="I218" s="85">
        <f t="shared" si="575"/>
        <v>-0.20165119336751725</v>
      </c>
      <c r="J218" s="85">
        <f t="shared" si="575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576">+Q216/P216-1</f>
        <v>-4.0957004287687226E-3</v>
      </c>
      <c r="R218" s="85">
        <f t="shared" ref="R218" si="577">+R216/Q216-1</f>
        <v>8.3903245054390174E-2</v>
      </c>
      <c r="S218" s="85">
        <f t="shared" ref="S218" si="578">+S216/R216-1</f>
        <v>-2.5407579927994028E-4</v>
      </c>
      <c r="T218" s="85">
        <f t="shared" ref="T218" si="579">+T216/S216-1</f>
        <v>0.13336015926129874</v>
      </c>
      <c r="U218" s="85">
        <f t="shared" ref="U218" si="580">+U216/T216-1</f>
        <v>-6.960777352144254E-2</v>
      </c>
      <c r="V218" s="85">
        <f t="shared" ref="V218" si="581">+V216/U216-1</f>
        <v>-0.23455611715941005</v>
      </c>
      <c r="W218" s="111">
        <f t="shared" ref="W218:X218" si="582">+W216/V216-1</f>
        <v>-0.15043816936163878</v>
      </c>
      <c r="X218" s="100">
        <f t="shared" si="582"/>
        <v>-5.6157915716699591E-2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583">+C221+1</f>
        <v>2018</v>
      </c>
      <c r="E221" s="82">
        <f t="shared" ref="E221" si="584">+D221+1</f>
        <v>2019</v>
      </c>
      <c r="F221" s="82">
        <f t="shared" ref="F221" si="585">+E221+1</f>
        <v>2020</v>
      </c>
      <c r="G221" s="82">
        <f t="shared" ref="G221" si="586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587">+P221+1</f>
        <v>2018</v>
      </c>
      <c r="R221" s="82">
        <f t="shared" ref="R221" si="588">+Q221+1</f>
        <v>2019</v>
      </c>
      <c r="S221" s="82">
        <f t="shared" ref="S221" si="589">+R221+1</f>
        <v>2020</v>
      </c>
      <c r="T221" s="82">
        <f t="shared" ref="T221" si="59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591">+SUM(C222)+SUM(B223:B233)</f>
        <v>9.2672000000000025</v>
      </c>
      <c r="Q222" s="6">
        <f t="shared" si="591"/>
        <v>8.1560000000000006</v>
      </c>
      <c r="R222" s="6">
        <f t="shared" si="591"/>
        <v>8.5470000000000006</v>
      </c>
      <c r="S222" s="6">
        <f t="shared" si="591"/>
        <v>8.2949999999999999</v>
      </c>
      <c r="T222" s="6">
        <f t="shared" si="591"/>
        <v>8.7129999999999992</v>
      </c>
      <c r="U222" s="6">
        <f t="shared" si="591"/>
        <v>7.5099999999999989</v>
      </c>
      <c r="V222" s="6">
        <f t="shared" si="591"/>
        <v>6.0017000000000005</v>
      </c>
      <c r="W222" s="105">
        <f t="shared" si="591"/>
        <v>4.0039400000000001</v>
      </c>
      <c r="X222" s="90">
        <f t="shared" si="591"/>
        <v>4.6879999999999997</v>
      </c>
      <c r="Y222" s="117">
        <f t="shared" ref="Y222:Y223" si="592">+X222/W222-1</f>
        <v>0.17084671598475487</v>
      </c>
      <c r="Z222" s="113">
        <f t="shared" ref="Z222:Z223" si="593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594">+SUM(C222:C223)+SUM(B224:B233)</f>
        <v>9.0758499999999991</v>
      </c>
      <c r="Q223" s="6">
        <f t="shared" si="594"/>
        <v>8.2469999999999999</v>
      </c>
      <c r="R223" s="6">
        <f t="shared" si="594"/>
        <v>8.5379999999999985</v>
      </c>
      <c r="S223" s="6">
        <f t="shared" si="594"/>
        <v>8.0259999999999998</v>
      </c>
      <c r="T223" s="6">
        <f t="shared" si="594"/>
        <v>8.6980000000000004</v>
      </c>
      <c r="U223" s="6">
        <f t="shared" si="594"/>
        <v>7.4478999999999989</v>
      </c>
      <c r="V223" s="6">
        <f t="shared" si="594"/>
        <v>5.8948</v>
      </c>
      <c r="W223" s="105">
        <f t="shared" si="594"/>
        <v>4.2639399999999998</v>
      </c>
      <c r="X223" s="90">
        <f t="shared" si="594"/>
        <v>4.5649999999999995</v>
      </c>
      <c r="Y223" s="117">
        <f t="shared" si="592"/>
        <v>7.0606059184697534E-2</v>
      </c>
      <c r="Z223" s="113">
        <f t="shared" si="593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595">+SUM(C222:C224)+SUM(B225:B233)</f>
        <v>8.6313500000000012</v>
      </c>
      <c r="Q224" s="6">
        <f t="shared" si="595"/>
        <v>8.1689999999999987</v>
      </c>
      <c r="R224" s="6">
        <f t="shared" si="595"/>
        <v>8.673</v>
      </c>
      <c r="S224" s="6">
        <f t="shared" si="595"/>
        <v>7.9689999999999994</v>
      </c>
      <c r="T224" s="6">
        <f t="shared" si="595"/>
        <v>8.81</v>
      </c>
      <c r="U224" s="6">
        <f t="shared" si="595"/>
        <v>7.0538999999999987</v>
      </c>
      <c r="V224" s="6">
        <f t="shared" si="595"/>
        <v>6.0687999999999995</v>
      </c>
      <c r="W224" s="105">
        <f t="shared" si="595"/>
        <v>4.06494</v>
      </c>
      <c r="X224" s="90">
        <f t="shared" ref="X224" si="596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597">+SUM(C222:C225)+SUM(B226:B233)</f>
        <v>8.6578999999999997</v>
      </c>
      <c r="Q225" s="6">
        <f t="shared" si="597"/>
        <v>8.1179999999999986</v>
      </c>
      <c r="R225" s="6">
        <f t="shared" si="597"/>
        <v>8.9669999999999987</v>
      </c>
      <c r="S225" s="6">
        <f t="shared" si="597"/>
        <v>7.76</v>
      </c>
      <c r="T225" s="6">
        <f t="shared" si="597"/>
        <v>8.8649999999999984</v>
      </c>
      <c r="U225" s="6">
        <f t="shared" si="597"/>
        <v>7.3515999999999995</v>
      </c>
      <c r="V225" s="6">
        <f t="shared" si="597"/>
        <v>5.3429800000000007</v>
      </c>
      <c r="W225" s="105">
        <f t="shared" si="597"/>
        <v>4.0150600000000001</v>
      </c>
      <c r="X225" s="90">
        <f t="shared" ref="X225" si="598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599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600">+SUM(C222:C226)+SUM(B227:B233)</f>
        <v>8.1767399999999988</v>
      </c>
      <c r="Q226" s="6">
        <f t="shared" si="600"/>
        <v>8.1389999999999993</v>
      </c>
      <c r="R226" s="6">
        <f t="shared" si="600"/>
        <v>9.2050000000000001</v>
      </c>
      <c r="S226" s="6">
        <f t="shared" si="600"/>
        <v>7.9009999999999998</v>
      </c>
      <c r="T226" s="6">
        <f t="shared" si="600"/>
        <v>8.4539999999999988</v>
      </c>
      <c r="U226" s="6">
        <f t="shared" si="600"/>
        <v>7.1754799999999994</v>
      </c>
      <c r="V226" s="6">
        <f t="shared" si="600"/>
        <v>5.3620999999999999</v>
      </c>
      <c r="W226" s="105">
        <f t="shared" si="600"/>
        <v>3.9650599999999998</v>
      </c>
      <c r="X226" s="90">
        <f t="shared" ref="X226" si="601">+SUM(K222:K226)+SUM(J227:J233)</f>
        <v>4.4169999999999998</v>
      </c>
      <c r="Y226" s="117">
        <f t="shared" ref="Y226:Y228" si="602">+X226/W226-1</f>
        <v>0.11398062072200665</v>
      </c>
      <c r="Z226" s="113">
        <f t="shared" ref="Z226:Z228" si="603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599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604">+SUM(C222:C227)+SUM(B228:B233)</f>
        <v>8.236089999999999</v>
      </c>
      <c r="Q227" s="6">
        <f t="shared" si="604"/>
        <v>7.9359999999999999</v>
      </c>
      <c r="R227" s="6">
        <f t="shared" si="604"/>
        <v>9.1630000000000003</v>
      </c>
      <c r="S227" s="6">
        <f t="shared" si="604"/>
        <v>8.0090000000000003</v>
      </c>
      <c r="T227" s="6">
        <f t="shared" si="604"/>
        <v>8.5439999999999987</v>
      </c>
      <c r="U227" s="6">
        <f t="shared" si="604"/>
        <v>7.0300999999999991</v>
      </c>
      <c r="V227" s="6">
        <f t="shared" si="604"/>
        <v>5.1325400000000005</v>
      </c>
      <c r="W227" s="105">
        <f t="shared" si="604"/>
        <v>3.9430000000000005</v>
      </c>
      <c r="X227" s="90">
        <f t="shared" ref="X227" si="605">+SUM(K222:K227)+SUM(J228:J233)</f>
        <v>4.5729999999999986</v>
      </c>
      <c r="Y227" s="117">
        <f t="shared" si="602"/>
        <v>0.15977681968044588</v>
      </c>
      <c r="Z227" s="113">
        <f t="shared" si="603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606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607">+SUM(C222:C228)+SUM(B229:B233)</f>
        <v>8.3430600000000013</v>
      </c>
      <c r="Q228" s="6">
        <f t="shared" si="607"/>
        <v>7.9909999999999997</v>
      </c>
      <c r="R228" s="6">
        <f t="shared" si="607"/>
        <v>9.173</v>
      </c>
      <c r="S228" s="6">
        <f t="shared" si="607"/>
        <v>7.7</v>
      </c>
      <c r="T228" s="6">
        <f t="shared" si="607"/>
        <v>8.6890000000000001</v>
      </c>
      <c r="U228" s="6">
        <f t="shared" si="607"/>
        <v>6.7631199999999998</v>
      </c>
      <c r="V228" s="6">
        <f t="shared" si="607"/>
        <v>5.0095200000000002</v>
      </c>
      <c r="W228" s="105">
        <f t="shared" si="607"/>
        <v>3.9960000000000004</v>
      </c>
      <c r="X228" s="90">
        <f t="shared" ref="X228" si="608">+SUM(K222:K228)+SUM(J229:J233)</f>
        <v>4.5659999999999989</v>
      </c>
      <c r="Y228" s="117">
        <f t="shared" si="602"/>
        <v>0.14264264264264215</v>
      </c>
      <c r="Z228" s="113">
        <f t="shared" si="603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/>
      <c r="L229" s="113"/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609">+SUM(C222:C229)+SUM(B230:B233)</f>
        <v>8.1677300000000006</v>
      </c>
      <c r="Q229" s="6">
        <f t="shared" si="609"/>
        <v>8.5339999999999989</v>
      </c>
      <c r="R229" s="6">
        <f t="shared" si="609"/>
        <v>8.3689999999999998</v>
      </c>
      <c r="S229" s="6">
        <f t="shared" si="609"/>
        <v>8.3250000000000011</v>
      </c>
      <c r="T229" s="6">
        <f t="shared" si="609"/>
        <v>8.5009999999999977</v>
      </c>
      <c r="U229" s="6">
        <f t="shared" si="609"/>
        <v>6.37974</v>
      </c>
      <c r="V229" s="6">
        <f t="shared" si="609"/>
        <v>4.7469000000000001</v>
      </c>
      <c r="W229" s="105">
        <f t="shared" si="609"/>
        <v>4.0030000000000001</v>
      </c>
      <c r="X229" s="105"/>
      <c r="Y229" s="117"/>
      <c r="Z229" s="113"/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/>
      <c r="L230" s="113"/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610">+SUM(C222:C230)+SUM(B231:B233)</f>
        <v>7.8386800000000001</v>
      </c>
      <c r="Q230" s="6">
        <f t="shared" si="610"/>
        <v>8.5339999999999989</v>
      </c>
      <c r="R230" s="6">
        <f t="shared" si="610"/>
        <v>8.4190000000000005</v>
      </c>
      <c r="S230" s="6">
        <f t="shared" si="610"/>
        <v>8.4420000000000002</v>
      </c>
      <c r="T230" s="6">
        <f t="shared" si="610"/>
        <v>8.5599999999999987</v>
      </c>
      <c r="U230" s="6">
        <f t="shared" si="610"/>
        <v>6.0669900000000005</v>
      </c>
      <c r="V230" s="6">
        <f t="shared" si="610"/>
        <v>4.6026500000000006</v>
      </c>
      <c r="W230" s="105">
        <f t="shared" si="610"/>
        <v>4.1379999999999999</v>
      </c>
      <c r="X230" s="105"/>
      <c r="Y230" s="117"/>
      <c r="Z230" s="113"/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/>
      <c r="L231" s="113"/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611">+SUM(C222:C231)+SUM(B232:B233)</f>
        <v>7.7870000000000008</v>
      </c>
      <c r="Q231" s="6">
        <f t="shared" si="611"/>
        <v>8.4289999999999985</v>
      </c>
      <c r="R231" s="6">
        <f t="shared" si="611"/>
        <v>8.4510000000000005</v>
      </c>
      <c r="S231" s="6">
        <f t="shared" si="611"/>
        <v>8.6620000000000008</v>
      </c>
      <c r="T231" s="6">
        <f t="shared" si="611"/>
        <v>8.238999999999999</v>
      </c>
      <c r="U231" s="6">
        <f t="shared" si="611"/>
        <v>6.0357000000000012</v>
      </c>
      <c r="V231" s="6">
        <f t="shared" si="611"/>
        <v>4.3499400000000001</v>
      </c>
      <c r="W231" s="105">
        <f t="shared" si="611"/>
        <v>4.3499999999999996</v>
      </c>
      <c r="X231" s="90"/>
      <c r="Y231" s="117"/>
      <c r="Z231" s="113"/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612">+SUM(C222:C232)+SUM(B233)</f>
        <v>8.15</v>
      </c>
      <c r="Q232" s="6">
        <f t="shared" si="612"/>
        <v>8.2839999999999989</v>
      </c>
      <c r="R232" s="6">
        <f t="shared" si="612"/>
        <v>8.1530000000000005</v>
      </c>
      <c r="S232" s="6">
        <f t="shared" si="612"/>
        <v>8.9730000000000008</v>
      </c>
      <c r="T232" s="6">
        <f t="shared" si="612"/>
        <v>8.1759999999999984</v>
      </c>
      <c r="U232" s="6">
        <f t="shared" si="612"/>
        <v>5.6967000000000008</v>
      </c>
      <c r="V232" s="6">
        <f t="shared" si="612"/>
        <v>4.3999400000000009</v>
      </c>
      <c r="W232" s="105">
        <f t="shared" si="612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613">+SUM(C222:C233)</f>
        <v>8.3230000000000004</v>
      </c>
      <c r="Q233" s="6">
        <f t="shared" si="613"/>
        <v>8.4959999999999987</v>
      </c>
      <c r="R233" s="6">
        <f t="shared" si="613"/>
        <v>8.093</v>
      </c>
      <c r="S233" s="6">
        <f t="shared" si="613"/>
        <v>8.6240000000000006</v>
      </c>
      <c r="T233" s="6">
        <f t="shared" si="613"/>
        <v>8.0879999999999992</v>
      </c>
      <c r="U233" s="6">
        <f t="shared" si="613"/>
        <v>5.8697000000000008</v>
      </c>
      <c r="V233" s="6">
        <f t="shared" si="613"/>
        <v>4.168940000000001</v>
      </c>
      <c r="W233" s="105">
        <f t="shared" si="613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614">SUM(C222:C233)</f>
        <v>8.3230000000000004</v>
      </c>
      <c r="D234" s="219">
        <f t="shared" si="614"/>
        <v>8.4959999999999987</v>
      </c>
      <c r="E234" s="219">
        <f t="shared" si="614"/>
        <v>8.093</v>
      </c>
      <c r="F234" s="219">
        <f t="shared" si="614"/>
        <v>8.6240000000000006</v>
      </c>
      <c r="G234" s="219">
        <f t="shared" si="614"/>
        <v>8.0879999999999992</v>
      </c>
      <c r="H234" s="219">
        <f t="shared" ref="H234:I234" si="615">SUM(H222:H233)</f>
        <v>5.8697000000000008</v>
      </c>
      <c r="I234" s="219">
        <f t="shared" si="615"/>
        <v>4.168940000000001</v>
      </c>
      <c r="J234" s="252">
        <f t="shared" ref="J234" si="616">SUM(J222:J233)</f>
        <v>4.673</v>
      </c>
      <c r="K234" s="251"/>
      <c r="L234" s="173"/>
      <c r="M234" s="3"/>
      <c r="N234" s="92" t="s">
        <v>14</v>
      </c>
      <c r="O234" s="106">
        <f t="shared" ref="O234" si="617">+AVERAGE(O222:O233)</f>
        <v>10.532009333049999</v>
      </c>
      <c r="P234" s="83">
        <f>+AVERAGE(P222:P233)</f>
        <v>8.3878833333333347</v>
      </c>
      <c r="Q234" s="83">
        <f t="shared" ref="Q234:W234" si="618">+AVERAGE(Q222:Q233)</f>
        <v>8.2527499999999971</v>
      </c>
      <c r="R234" s="83">
        <f t="shared" si="618"/>
        <v>8.6459166666666665</v>
      </c>
      <c r="S234" s="83">
        <f t="shared" si="618"/>
        <v>8.2238333333333333</v>
      </c>
      <c r="T234" s="83">
        <f t="shared" si="618"/>
        <v>8.528083333333333</v>
      </c>
      <c r="U234" s="83">
        <f t="shared" si="618"/>
        <v>6.6984108333333339</v>
      </c>
      <c r="V234" s="83">
        <f t="shared" si="618"/>
        <v>5.0900675000000009</v>
      </c>
      <c r="W234" s="107">
        <f t="shared" si="618"/>
        <v>4.1606616666666669</v>
      </c>
      <c r="X234" s="93">
        <f t="shared" ref="X234" si="619">+AVERAGE(X222:X233)</f>
        <v>4.543857142857143</v>
      </c>
      <c r="Y234" s="119">
        <f>+X234/W234-1</f>
        <v>9.209964829884254E-2</v>
      </c>
      <c r="Z234" s="173">
        <f>+POWER(X234/S234,0.2)-1</f>
        <v>-0.11188322394121242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620">+C234/C$324</f>
        <v>1.1261937816458694E-2</v>
      </c>
      <c r="D235" s="84">
        <f t="shared" ref="D235" si="621">+D234/D$324</f>
        <v>1.1521374753868935E-2</v>
      </c>
      <c r="E235" s="84">
        <f t="shared" ref="E235" si="622">+E234/E$324</f>
        <v>1.1198733586929596E-2</v>
      </c>
      <c r="F235" s="84">
        <f t="shared" ref="F235:G235" si="623">+F234/F$324</f>
        <v>1.2087607119129647E-2</v>
      </c>
      <c r="G235" s="84">
        <f t="shared" si="623"/>
        <v>9.878002757731234E-3</v>
      </c>
      <c r="H235" s="229">
        <f t="shared" ref="H235:I235" si="624">+H234/H$324</f>
        <v>7.8165428873148476E-3</v>
      </c>
      <c r="I235" s="84">
        <f t="shared" si="624"/>
        <v>6.5417815430918024E-3</v>
      </c>
      <c r="J235" s="109">
        <f t="shared" ref="J235" si="625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626">+P234/P$324</f>
        <v>1.1254535847271457E-2</v>
      </c>
      <c r="Q235" s="84">
        <f t="shared" ref="Q235" si="627">+Q234/Q$324</f>
        <v>1.1155404963965401E-2</v>
      </c>
      <c r="R235" s="84">
        <f t="shared" ref="R235" si="628">+R234/R$324</f>
        <v>1.172801840111177E-2</v>
      </c>
      <c r="S235" s="84">
        <f t="shared" ref="S235:W235" si="629">+S234/S$324</f>
        <v>1.1600077438856745E-2</v>
      </c>
      <c r="T235" s="84">
        <f t="shared" si="629"/>
        <v>1.1073601681453542E-2</v>
      </c>
      <c r="U235" s="84">
        <f t="shared" si="629"/>
        <v>8.4103695999732143E-3</v>
      </c>
      <c r="V235" s="84">
        <f t="shared" si="629"/>
        <v>7.4555210464932499E-3</v>
      </c>
      <c r="W235" s="109">
        <f t="shared" si="629"/>
        <v>6.543776301351693E-3</v>
      </c>
      <c r="X235" s="96">
        <f t="shared" ref="X235" si="630">+X234/X$324</f>
        <v>7.1121945503958032E-3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31">+D234/C234-1</f>
        <v>2.0785774360206455E-2</v>
      </c>
      <c r="E236" s="85">
        <f t="shared" ref="E236" si="632">+E234/D234-1</f>
        <v>-4.7434086629001726E-2</v>
      </c>
      <c r="F236" s="85">
        <f t="shared" ref="F236:J236" si="633">+F234/E234-1</f>
        <v>6.5612257506487248E-2</v>
      </c>
      <c r="G236" s="85">
        <f t="shared" si="633"/>
        <v>-6.2152133580705149E-2</v>
      </c>
      <c r="H236" s="85">
        <f t="shared" si="633"/>
        <v>-0.27427052423343212</v>
      </c>
      <c r="I236" s="85">
        <f t="shared" si="633"/>
        <v>-0.28975245753616019</v>
      </c>
      <c r="J236" s="85">
        <f t="shared" si="633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634">+Q234/P234-1</f>
        <v>-1.6110540402525575E-2</v>
      </c>
      <c r="R236" s="85">
        <f t="shared" ref="R236" si="635">+R234/Q234-1</f>
        <v>4.7640685428089968E-2</v>
      </c>
      <c r="S236" s="85">
        <f t="shared" ref="S236" si="636">+S234/R234-1</f>
        <v>-4.8818806565719797E-2</v>
      </c>
      <c r="T236" s="85">
        <f t="shared" ref="T236" si="637">+T234/S234-1</f>
        <v>3.6996129136858347E-2</v>
      </c>
      <c r="U236" s="85">
        <f t="shared" ref="U236" si="638">+U234/T234-1</f>
        <v>-0.21454674262485696</v>
      </c>
      <c r="V236" s="85">
        <f t="shared" ref="V236" si="639">+V234/U234-1</f>
        <v>-0.24010819481685508</v>
      </c>
      <c r="W236" s="111">
        <f t="shared" ref="W236:X236" si="640">+W234/V234-1</f>
        <v>-0.18259204486646474</v>
      </c>
      <c r="X236" s="100">
        <f t="shared" si="640"/>
        <v>9.209964829884254E-2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641">+C239+1</f>
        <v>2018</v>
      </c>
      <c r="E239" s="82">
        <f t="shared" ref="E239" si="642">+D239+1</f>
        <v>2019</v>
      </c>
      <c r="F239" s="82">
        <f t="shared" ref="F239" si="643">+E239+1</f>
        <v>2020</v>
      </c>
      <c r="G239" s="82">
        <f t="shared" ref="G239" si="644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45">+P239+1</f>
        <v>2018</v>
      </c>
      <c r="R239" s="82">
        <f t="shared" ref="R239" si="646">+Q239+1</f>
        <v>2019</v>
      </c>
      <c r="S239" s="82">
        <f t="shared" ref="S239" si="647">+R239+1</f>
        <v>2020</v>
      </c>
      <c r="T239" s="82">
        <f t="shared" ref="T239" si="648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649">+SUM(C240)+SUM(B241:B251)</f>
        <v>10.786659999999999</v>
      </c>
      <c r="Q240" s="6">
        <f t="shared" si="649"/>
        <v>10.326999999999998</v>
      </c>
      <c r="R240" s="6">
        <f t="shared" si="649"/>
        <v>11.065999999999999</v>
      </c>
      <c r="S240" s="6">
        <f t="shared" si="649"/>
        <v>9.7940000000000023</v>
      </c>
      <c r="T240" s="6">
        <f t="shared" si="649"/>
        <v>8.4060000000000006</v>
      </c>
      <c r="U240" s="6">
        <f t="shared" si="649"/>
        <v>11.951000000000001</v>
      </c>
      <c r="V240" s="6">
        <f t="shared" si="649"/>
        <v>13.109024999999999</v>
      </c>
      <c r="W240" s="105">
        <f t="shared" si="649"/>
        <v>10</v>
      </c>
      <c r="X240" s="90">
        <f t="shared" si="649"/>
        <v>9.9369999999999976</v>
      </c>
      <c r="Y240" s="117">
        <f t="shared" ref="Y240:Y241" si="650">+X240/W240-1</f>
        <v>-6.3000000000001943E-3</v>
      </c>
      <c r="Z240" s="113">
        <f t="shared" ref="Z240:Z241" si="651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652">+SUM(C240:C241)+SUM(B242:B251)</f>
        <v>10.45012</v>
      </c>
      <c r="Q241" s="6">
        <f t="shared" si="652"/>
        <v>10.581</v>
      </c>
      <c r="R241" s="6">
        <f t="shared" si="652"/>
        <v>11.073</v>
      </c>
      <c r="S241" s="6">
        <f t="shared" si="652"/>
        <v>9.5560000000000009</v>
      </c>
      <c r="T241" s="6">
        <f t="shared" si="652"/>
        <v>8.57</v>
      </c>
      <c r="U241" s="6">
        <f t="shared" si="652"/>
        <v>12.2697</v>
      </c>
      <c r="V241" s="6">
        <f t="shared" si="652"/>
        <v>12.966324999999999</v>
      </c>
      <c r="W241" s="105">
        <f t="shared" si="652"/>
        <v>10.16</v>
      </c>
      <c r="X241" s="90">
        <f t="shared" si="652"/>
        <v>9.5640000000000001</v>
      </c>
      <c r="Y241" s="117">
        <f t="shared" si="650"/>
        <v>-5.8661417322834697E-2</v>
      </c>
      <c r="Z241" s="113">
        <f t="shared" si="651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653">+SUM(C240:C242)+SUM(B243:B251)</f>
        <v>10.391539999999999</v>
      </c>
      <c r="Q242" s="6">
        <f t="shared" si="653"/>
        <v>10.654999999999999</v>
      </c>
      <c r="R242" s="6">
        <f t="shared" si="653"/>
        <v>11.373999999999999</v>
      </c>
      <c r="S242" s="6">
        <f t="shared" si="653"/>
        <v>8.9980000000000011</v>
      </c>
      <c r="T242" s="6">
        <f t="shared" si="653"/>
        <v>8.9200000000000017</v>
      </c>
      <c r="U242" s="6">
        <f t="shared" si="653"/>
        <v>12.4619</v>
      </c>
      <c r="V242" s="6">
        <f t="shared" si="653"/>
        <v>12.861124999999998</v>
      </c>
      <c r="W242" s="105">
        <f t="shared" si="653"/>
        <v>10.043000000000001</v>
      </c>
      <c r="X242" s="90">
        <f t="shared" ref="X242" si="654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655">+SUM(C240:C243)+SUM(B244:B251)</f>
        <v>10.25624</v>
      </c>
      <c r="Q243" s="6">
        <f t="shared" si="655"/>
        <v>10.754999999999999</v>
      </c>
      <c r="R243" s="6">
        <f t="shared" si="655"/>
        <v>11.306000000000001</v>
      </c>
      <c r="S243" s="6">
        <f t="shared" si="655"/>
        <v>8.8979999999999997</v>
      </c>
      <c r="T243" s="6">
        <f t="shared" si="655"/>
        <v>9.020999999999999</v>
      </c>
      <c r="U243" s="6">
        <f t="shared" si="655"/>
        <v>12.816695000000001</v>
      </c>
      <c r="V243" s="6">
        <f t="shared" si="655"/>
        <v>12.35233</v>
      </c>
      <c r="W243" s="105">
        <f t="shared" si="655"/>
        <v>10.225999999999999</v>
      </c>
      <c r="X243" s="90">
        <f t="shared" ref="X243" si="656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657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658">+SUM(C240:C244)+SUM(B245:B251)</f>
        <v>10.612089999999998</v>
      </c>
      <c r="Q244" s="6">
        <f t="shared" si="658"/>
        <v>10.414</v>
      </c>
      <c r="R244" s="6">
        <f t="shared" si="658"/>
        <v>11.151999999999999</v>
      </c>
      <c r="S244" s="6">
        <f t="shared" si="658"/>
        <v>9.0820000000000007</v>
      </c>
      <c r="T244" s="6">
        <f t="shared" si="658"/>
        <v>8.9169999999999998</v>
      </c>
      <c r="U244" s="6">
        <f t="shared" si="658"/>
        <v>13.216675</v>
      </c>
      <c r="V244" s="6">
        <f t="shared" si="658"/>
        <v>11.994350000000001</v>
      </c>
      <c r="W244" s="105">
        <f t="shared" si="658"/>
        <v>10.013999999999999</v>
      </c>
      <c r="X244" s="90">
        <f t="shared" ref="X244" si="659">+SUM(K240:K244)+SUM(J245:J251)</f>
        <v>9.168000000000001</v>
      </c>
      <c r="Y244" s="117">
        <f t="shared" ref="Y244:Y246" si="660">+X244/W244-1</f>
        <v>-8.4481725584181988E-2</v>
      </c>
      <c r="Z244" s="113">
        <f t="shared" ref="Z244:Z246" si="661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657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662">+SUM(C240:C245)+SUM(B246:B251)</f>
        <v>10.348980000000001</v>
      </c>
      <c r="Q245" s="6">
        <f t="shared" si="662"/>
        <v>10.646000000000001</v>
      </c>
      <c r="R245" s="6">
        <f t="shared" si="662"/>
        <v>10.988999999999997</v>
      </c>
      <c r="S245" s="6">
        <f t="shared" si="662"/>
        <v>8.8849999999999998</v>
      </c>
      <c r="T245" s="6">
        <f t="shared" si="662"/>
        <v>9.7349999999999994</v>
      </c>
      <c r="U245" s="6">
        <f t="shared" si="662"/>
        <v>13.110065000000001</v>
      </c>
      <c r="V245" s="6">
        <f t="shared" si="662"/>
        <v>11.523960000000002</v>
      </c>
      <c r="W245" s="105">
        <f t="shared" si="662"/>
        <v>9.8650000000000002</v>
      </c>
      <c r="X245" s="90">
        <f t="shared" ref="X245" si="663">+SUM(K240:K245)+SUM(J246:J251)</f>
        <v>9.1310000000000002</v>
      </c>
      <c r="Y245" s="117">
        <f t="shared" si="660"/>
        <v>-7.4404460212873835E-2</v>
      </c>
      <c r="Z245" s="113">
        <f t="shared" si="661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664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665">+SUM(C240:C246)+SUM(B247:B251)</f>
        <v>10.75578</v>
      </c>
      <c r="Q246" s="6">
        <f t="shared" si="665"/>
        <v>11.202</v>
      </c>
      <c r="R246" s="6">
        <f t="shared" si="665"/>
        <v>10.122999999999999</v>
      </c>
      <c r="S246" s="6">
        <f t="shared" si="665"/>
        <v>8.4589999999999996</v>
      </c>
      <c r="T246" s="6">
        <f t="shared" si="665"/>
        <v>10.381</v>
      </c>
      <c r="U246" s="6">
        <f t="shared" si="665"/>
        <v>13.096155</v>
      </c>
      <c r="V246" s="6">
        <f t="shared" si="665"/>
        <v>11.255870000000002</v>
      </c>
      <c r="W246" s="105">
        <f t="shared" si="665"/>
        <v>10.022</v>
      </c>
      <c r="X246" s="90">
        <f t="shared" ref="X246" si="666">+SUM(K240:K246)+SUM(J247:J251)</f>
        <v>8.8219999999999992</v>
      </c>
      <c r="Y246" s="117">
        <f t="shared" si="660"/>
        <v>-0.11973657952504502</v>
      </c>
      <c r="Z246" s="113">
        <f t="shared" si="661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/>
      <c r="L247" s="113"/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667">+SUM(C240:C247)+SUM(B248:B251)</f>
        <v>10.650009999999998</v>
      </c>
      <c r="Q247" s="6">
        <f t="shared" si="667"/>
        <v>10.752000000000001</v>
      </c>
      <c r="R247" s="6">
        <f t="shared" si="667"/>
        <v>10.071999999999999</v>
      </c>
      <c r="S247" s="6">
        <f t="shared" si="667"/>
        <v>8.6740000000000013</v>
      </c>
      <c r="T247" s="6">
        <f t="shared" si="667"/>
        <v>10.210000000000001</v>
      </c>
      <c r="U247" s="6">
        <f t="shared" si="667"/>
        <v>13.666995</v>
      </c>
      <c r="V247" s="6">
        <f t="shared" si="667"/>
        <v>10.62003</v>
      </c>
      <c r="W247" s="105">
        <f t="shared" si="667"/>
        <v>9.9239999999999995</v>
      </c>
      <c r="X247" s="105"/>
      <c r="Y247" s="117"/>
      <c r="Z247" s="113"/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/>
      <c r="L248" s="113"/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668">+SUM(C240:C248)+SUM(B249:B251)</f>
        <v>10.51327</v>
      </c>
      <c r="Q248" s="6">
        <f t="shared" si="668"/>
        <v>10.953000000000001</v>
      </c>
      <c r="R248" s="6">
        <f t="shared" si="668"/>
        <v>9.7999999999999989</v>
      </c>
      <c r="S248" s="6">
        <f t="shared" si="668"/>
        <v>8.6900000000000013</v>
      </c>
      <c r="T248" s="6">
        <f t="shared" si="668"/>
        <v>10.737</v>
      </c>
      <c r="U248" s="6">
        <f t="shared" si="668"/>
        <v>13.713985000000001</v>
      </c>
      <c r="V248" s="6">
        <f t="shared" si="668"/>
        <v>10.130040000000001</v>
      </c>
      <c r="W248" s="105">
        <f t="shared" si="668"/>
        <v>10.535</v>
      </c>
      <c r="X248" s="105"/>
      <c r="Y248" s="117"/>
      <c r="Z248" s="113"/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/>
      <c r="L249" s="113"/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669">+SUM(C240:C249)+SUM(B250:B251)</f>
        <v>10.565000000000001</v>
      </c>
      <c r="Q249" s="6">
        <f t="shared" si="669"/>
        <v>11.018000000000001</v>
      </c>
      <c r="R249" s="6">
        <f t="shared" si="669"/>
        <v>9.782</v>
      </c>
      <c r="S249" s="6">
        <f t="shared" si="669"/>
        <v>8.5920000000000023</v>
      </c>
      <c r="T249" s="6">
        <f t="shared" si="669"/>
        <v>10.91</v>
      </c>
      <c r="U249" s="6">
        <f t="shared" si="669"/>
        <v>13.582025</v>
      </c>
      <c r="V249" s="6">
        <f t="shared" si="669"/>
        <v>10.032000000000002</v>
      </c>
      <c r="W249" s="105">
        <f t="shared" si="669"/>
        <v>10.698</v>
      </c>
      <c r="X249" s="90"/>
      <c r="Y249" s="117"/>
      <c r="Z249" s="113"/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670">+SUM(C240:C250)+SUM(B251)</f>
        <v>10.670999999999999</v>
      </c>
      <c r="Q250" s="6">
        <f t="shared" si="670"/>
        <v>11.048000000000002</v>
      </c>
      <c r="R250" s="6">
        <f t="shared" si="670"/>
        <v>9.5380000000000003</v>
      </c>
      <c r="S250" s="6">
        <f t="shared" si="670"/>
        <v>8.8120000000000012</v>
      </c>
      <c r="T250" s="6">
        <f t="shared" si="670"/>
        <v>11.216000000000001</v>
      </c>
      <c r="U250" s="6">
        <f t="shared" si="670"/>
        <v>13.427024999999999</v>
      </c>
      <c r="V250" s="6">
        <f t="shared" si="670"/>
        <v>9.91</v>
      </c>
      <c r="W250" s="105">
        <f t="shared" si="670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671">+SUM(C240:C251)</f>
        <v>10.515000000000001</v>
      </c>
      <c r="Q251" s="6">
        <f t="shared" si="671"/>
        <v>10.921000000000001</v>
      </c>
      <c r="R251" s="6">
        <f t="shared" si="671"/>
        <v>9.6910000000000007</v>
      </c>
      <c r="S251" s="6">
        <f t="shared" si="671"/>
        <v>8.6240000000000006</v>
      </c>
      <c r="T251" s="6">
        <f t="shared" si="671"/>
        <v>11.861000000000001</v>
      </c>
      <c r="U251" s="6">
        <f t="shared" si="671"/>
        <v>12.997024999999999</v>
      </c>
      <c r="V251" s="6">
        <f t="shared" si="671"/>
        <v>10.024000000000001</v>
      </c>
      <c r="W251" s="105">
        <f t="shared" si="671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672">SUM(G240:G251)</f>
        <v>11.861000000000001</v>
      </c>
      <c r="H252" s="219">
        <f t="shared" si="672"/>
        <v>12.997024999999999</v>
      </c>
      <c r="I252" s="219">
        <f t="shared" si="672"/>
        <v>10.024000000000001</v>
      </c>
      <c r="J252" s="252">
        <f t="shared" ref="J252" si="673">SUM(J240:J251)</f>
        <v>10.167999999999999</v>
      </c>
      <c r="K252" s="251"/>
      <c r="L252" s="173"/>
      <c r="M252" s="3"/>
      <c r="N252" s="92" t="s">
        <v>14</v>
      </c>
      <c r="O252" s="106">
        <f t="shared" ref="O252:W252" si="674">+AVERAGE(O240:O251)</f>
        <v>10.536974592724997</v>
      </c>
      <c r="P252" s="83">
        <f t="shared" si="674"/>
        <v>10.542974166666665</v>
      </c>
      <c r="Q252" s="83">
        <f t="shared" si="674"/>
        <v>10.772666666666666</v>
      </c>
      <c r="R252" s="83">
        <f t="shared" si="674"/>
        <v>10.497166666666667</v>
      </c>
      <c r="S252" s="83">
        <f t="shared" si="674"/>
        <v>8.9219999999999988</v>
      </c>
      <c r="T252" s="83">
        <f t="shared" si="674"/>
        <v>9.907</v>
      </c>
      <c r="U252" s="83">
        <f t="shared" si="674"/>
        <v>13.025770416666665</v>
      </c>
      <c r="V252" s="83">
        <f t="shared" si="674"/>
        <v>11.398254583333335</v>
      </c>
      <c r="W252" s="107">
        <f t="shared" si="674"/>
        <v>10.168083333333334</v>
      </c>
      <c r="X252" s="93">
        <f t="shared" ref="X252" si="675">+AVERAGE(X240:X251)</f>
        <v>9.2702857142857145</v>
      </c>
      <c r="Y252" s="119">
        <f>+X252/W252-1</f>
        <v>-8.8295659035801832E-2</v>
      </c>
      <c r="Z252" s="173">
        <f>+POWER(X252/S252,0.2)-1</f>
        <v>7.6882164817184684E-3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676">+C252/C$324</f>
        <v>1.4227955802002062E-2</v>
      </c>
      <c r="D253" s="84">
        <f t="shared" ref="D253" si="677">+D252/D$324</f>
        <v>1.4809902740937226E-2</v>
      </c>
      <c r="E253" s="84">
        <f t="shared" ref="E253" si="678">+E252/E$324</f>
        <v>1.3409974940187164E-2</v>
      </c>
      <c r="F253" s="84">
        <f t="shared" ref="F253:G253" si="679">+F252/F$324</f>
        <v>1.2087607119129647E-2</v>
      </c>
      <c r="G253" s="84">
        <f t="shared" si="679"/>
        <v>1.4486027535787609E-2</v>
      </c>
      <c r="H253" s="229">
        <f t="shared" ref="H253:I253" si="680">+H252/H$324</f>
        <v>1.7307835719032189E-2</v>
      </c>
      <c r="I253" s="84">
        <f t="shared" si="680"/>
        <v>1.572937441842584E-2</v>
      </c>
      <c r="J253" s="109">
        <f t="shared" ref="J253" si="681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682">+P252/P$324</f>
        <v>1.4146152966156367E-2</v>
      </c>
      <c r="Q253" s="84">
        <f t="shared" ref="Q253" si="683">+Q252/Q$324</f>
        <v>1.4561626028715033E-2</v>
      </c>
      <c r="R253" s="84">
        <f t="shared" ref="R253" si="684">+R252/R$324</f>
        <v>1.4239203149024542E-2</v>
      </c>
      <c r="S253" s="84">
        <f t="shared" ref="S253:W253" si="685">+S252/S$324</f>
        <v>1.2584872128911481E-2</v>
      </c>
      <c r="T253" s="84">
        <f t="shared" si="685"/>
        <v>1.2864106455123005E-2</v>
      </c>
      <c r="U253" s="84">
        <f t="shared" si="685"/>
        <v>1.6354855838850893E-2</v>
      </c>
      <c r="V253" s="84">
        <f t="shared" si="685"/>
        <v>1.6695245581582134E-2</v>
      </c>
      <c r="W253" s="109">
        <f t="shared" si="685"/>
        <v>1.5992086854815749E-2</v>
      </c>
      <c r="X253" s="96">
        <f t="shared" ref="X253" si="686">+X252/X$324</f>
        <v>1.4510155901665812E-2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687">+D252/C252-1</f>
        <v>3.8611507370423181E-2</v>
      </c>
      <c r="E254" s="85">
        <f t="shared" ref="E254" si="688">+E252/D252-1</f>
        <v>-0.11262704880505447</v>
      </c>
      <c r="F254" s="85">
        <f t="shared" ref="F254:J254" si="689">+F252/E252-1</f>
        <v>-0.11010215664018164</v>
      </c>
      <c r="G254" s="85">
        <f t="shared" si="689"/>
        <v>0.37534786641929507</v>
      </c>
      <c r="H254" s="85">
        <f t="shared" si="689"/>
        <v>9.5778180591855611E-2</v>
      </c>
      <c r="I254" s="85">
        <f t="shared" si="689"/>
        <v>-0.22874657854393587</v>
      </c>
      <c r="J254" s="85">
        <f t="shared" si="689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690">+Q252/P252-1</f>
        <v>2.1786309666413706E-2</v>
      </c>
      <c r="R254" s="85">
        <f t="shared" ref="R254" si="691">+R252/Q252-1</f>
        <v>-2.5573983538585199E-2</v>
      </c>
      <c r="S254" s="85">
        <f t="shared" ref="S254" si="692">+S252/R252-1</f>
        <v>-0.15005636441579484</v>
      </c>
      <c r="T254" s="85">
        <f t="shared" ref="T254" si="693">+T252/S252-1</f>
        <v>0.11040125532391865</v>
      </c>
      <c r="U254" s="85">
        <f t="shared" ref="U254" si="694">+U252/T252-1</f>
        <v>0.31480472561488493</v>
      </c>
      <c r="V254" s="85">
        <f t="shared" ref="V254" si="695">+V252/U252-1</f>
        <v>-0.12494584053553559</v>
      </c>
      <c r="W254" s="111">
        <f t="shared" ref="W254:X254" si="696">+W252/V252-1</f>
        <v>-0.10792628301167906</v>
      </c>
      <c r="X254" s="100">
        <f t="shared" si="696"/>
        <v>-8.8295659035801832E-2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697">+C257+1</f>
        <v>2018</v>
      </c>
      <c r="E257" s="82">
        <f t="shared" ref="E257" si="698">+D257+1</f>
        <v>2019</v>
      </c>
      <c r="F257" s="82">
        <f t="shared" ref="F257" si="699">+E257+1</f>
        <v>2020</v>
      </c>
      <c r="G257" s="82">
        <f t="shared" ref="G257" si="700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01">+P257+1</f>
        <v>2018</v>
      </c>
      <c r="R257" s="82">
        <f t="shared" ref="R257" si="702">+Q257+1</f>
        <v>2019</v>
      </c>
      <c r="S257" s="82">
        <f t="shared" ref="S257" si="703">+R257+1</f>
        <v>2020</v>
      </c>
      <c r="T257" s="82">
        <f t="shared" ref="T257" si="704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705">+SUM(C258)+SUM(B259:B269)</f>
        <v>37.809090000000005</v>
      </c>
      <c r="Q258" s="6">
        <f t="shared" si="705"/>
        <v>35.365000000000002</v>
      </c>
      <c r="R258" s="6">
        <f t="shared" si="705"/>
        <v>34.559000000000005</v>
      </c>
      <c r="S258" s="6">
        <f t="shared" si="705"/>
        <v>37.029000000000003</v>
      </c>
      <c r="T258" s="6">
        <f t="shared" si="705"/>
        <v>41.937999999999995</v>
      </c>
      <c r="U258" s="6">
        <f t="shared" si="705"/>
        <v>48.063000000000002</v>
      </c>
      <c r="V258" s="6">
        <f t="shared" si="705"/>
        <v>45.069160000000011</v>
      </c>
      <c r="W258" s="105">
        <f t="shared" si="705"/>
        <v>36.477000000000004</v>
      </c>
      <c r="X258" s="90">
        <f t="shared" si="705"/>
        <v>38.485000000000007</v>
      </c>
      <c r="Y258" s="117">
        <f t="shared" ref="Y258:Y259" si="706">+X258/W258-1</f>
        <v>5.504838665460432E-2</v>
      </c>
      <c r="Z258" s="113">
        <f t="shared" ref="Z258:Z259" si="707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708">+SUM(C258:C259)+SUM(B260:B269)</f>
        <v>37.277879999999996</v>
      </c>
      <c r="Q259" s="6">
        <f t="shared" si="708"/>
        <v>35.730999999999995</v>
      </c>
      <c r="R259" s="6">
        <f t="shared" si="708"/>
        <v>34.435000000000002</v>
      </c>
      <c r="S259" s="6">
        <f t="shared" si="708"/>
        <v>37.76400000000001</v>
      </c>
      <c r="T259" s="6">
        <f t="shared" si="708"/>
        <v>41.896000000000001</v>
      </c>
      <c r="U259" s="6">
        <f t="shared" si="708"/>
        <v>49.760800000000003</v>
      </c>
      <c r="V259" s="6">
        <f t="shared" si="708"/>
        <v>42.397360000000006</v>
      </c>
      <c r="W259" s="105">
        <f t="shared" si="708"/>
        <v>37.128999999999998</v>
      </c>
      <c r="X259" s="90">
        <f t="shared" si="708"/>
        <v>38.412999999999997</v>
      </c>
      <c r="Y259" s="117">
        <f t="shared" si="706"/>
        <v>3.4582132564841439E-2</v>
      </c>
      <c r="Z259" s="113">
        <f t="shared" si="707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709">+SUM(C258:C260)+SUM(B261:B269)</f>
        <v>37.26126</v>
      </c>
      <c r="Q260" s="6">
        <f t="shared" si="709"/>
        <v>35.643000000000001</v>
      </c>
      <c r="R260" s="6">
        <f t="shared" si="709"/>
        <v>34.623999999999995</v>
      </c>
      <c r="S260" s="6">
        <f t="shared" si="709"/>
        <v>37.442999999999998</v>
      </c>
      <c r="T260" s="6">
        <f t="shared" si="709"/>
        <v>42.997999999999998</v>
      </c>
      <c r="U260" s="6">
        <f t="shared" si="709"/>
        <v>49.765199999999993</v>
      </c>
      <c r="V260" s="6">
        <f t="shared" si="709"/>
        <v>42.02196</v>
      </c>
      <c r="W260" s="105">
        <f t="shared" si="709"/>
        <v>35.951999999999998</v>
      </c>
      <c r="X260" s="90">
        <f t="shared" ref="X260" si="710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711">+SUM(C258:C261)+SUM(B262:B269)</f>
        <v>35.910160000000005</v>
      </c>
      <c r="Q261" s="6">
        <f t="shared" si="711"/>
        <v>35.551000000000002</v>
      </c>
      <c r="R261" s="6">
        <f t="shared" si="711"/>
        <v>35.171999999999997</v>
      </c>
      <c r="S261" s="6">
        <f t="shared" si="711"/>
        <v>38.346000000000004</v>
      </c>
      <c r="T261" s="6">
        <f t="shared" si="711"/>
        <v>42.545999999999999</v>
      </c>
      <c r="U261" s="6">
        <f t="shared" si="711"/>
        <v>50.244</v>
      </c>
      <c r="V261" s="6">
        <f t="shared" si="711"/>
        <v>41.04316</v>
      </c>
      <c r="W261" s="105">
        <f t="shared" si="711"/>
        <v>35.549999999999997</v>
      </c>
      <c r="X261" s="90">
        <f t="shared" ref="X261" si="712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713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714">+SUM(C258:C262)+SUM(B263:B269)</f>
        <v>35.654260000000008</v>
      </c>
      <c r="Q262" s="6">
        <f t="shared" si="714"/>
        <v>35.405000000000001</v>
      </c>
      <c r="R262" s="6">
        <f t="shared" si="714"/>
        <v>35.753</v>
      </c>
      <c r="S262" s="6">
        <f t="shared" si="714"/>
        <v>37.794000000000004</v>
      </c>
      <c r="T262" s="6">
        <f t="shared" si="714"/>
        <v>44.186999999999998</v>
      </c>
      <c r="U262" s="6">
        <f t="shared" si="714"/>
        <v>49.476289999999999</v>
      </c>
      <c r="V262" s="6">
        <f t="shared" si="714"/>
        <v>40.77487</v>
      </c>
      <c r="W262" s="105">
        <f t="shared" si="714"/>
        <v>35.823</v>
      </c>
      <c r="X262" s="90">
        <f t="shared" ref="X262" si="715">+SUM(K258:K262)+SUM(J263:J269)</f>
        <v>39.597999999999999</v>
      </c>
      <c r="Y262" s="117">
        <f t="shared" ref="Y262:Y264" si="716">+X262/W262-1</f>
        <v>0.1053792256371604</v>
      </c>
      <c r="Z262" s="113">
        <f t="shared" ref="Z262:Z264" si="717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713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718">+SUM(C258:C263)+SUM(B264:B269)</f>
        <v>36.427250000000001</v>
      </c>
      <c r="Q263" s="6">
        <f t="shared" si="718"/>
        <v>34.186000000000007</v>
      </c>
      <c r="R263" s="6">
        <f t="shared" si="718"/>
        <v>35.897999999999996</v>
      </c>
      <c r="S263" s="6">
        <f t="shared" si="718"/>
        <v>38.249000000000002</v>
      </c>
      <c r="T263" s="6">
        <f t="shared" si="718"/>
        <v>45.293000000000006</v>
      </c>
      <c r="U263" s="6">
        <f t="shared" si="718"/>
        <v>49.976560000000006</v>
      </c>
      <c r="V263" s="6">
        <f t="shared" si="718"/>
        <v>39.165599999999998</v>
      </c>
      <c r="W263" s="105">
        <f t="shared" si="718"/>
        <v>35.787999999999997</v>
      </c>
      <c r="X263" s="90">
        <f t="shared" ref="X263" si="719">+SUM(K258:K263)+SUM(J264:J269)</f>
        <v>39.394000000000005</v>
      </c>
      <c r="Y263" s="117">
        <f t="shared" si="716"/>
        <v>0.10076003129540645</v>
      </c>
      <c r="Z263" s="113">
        <f t="shared" si="717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720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721">+SUM(C258:C264)+SUM(B265:B269)</f>
        <v>36.720179999999999</v>
      </c>
      <c r="Q264" s="6">
        <f t="shared" si="721"/>
        <v>34.596000000000004</v>
      </c>
      <c r="R264" s="6">
        <f t="shared" si="721"/>
        <v>35.900999999999996</v>
      </c>
      <c r="S264" s="6">
        <f t="shared" si="721"/>
        <v>39.492000000000004</v>
      </c>
      <c r="T264" s="6">
        <f t="shared" si="721"/>
        <v>45.062000000000005</v>
      </c>
      <c r="U264" s="6">
        <f t="shared" si="721"/>
        <v>49.12303</v>
      </c>
      <c r="V264" s="6">
        <f t="shared" si="721"/>
        <v>39.060130000000001</v>
      </c>
      <c r="W264" s="105">
        <f t="shared" si="721"/>
        <v>37.161999999999999</v>
      </c>
      <c r="X264" s="90">
        <f t="shared" ref="X264" si="722">+SUM(K258:K264)+SUM(J265:J269)</f>
        <v>38.120000000000005</v>
      </c>
      <c r="Y264" s="117">
        <f t="shared" si="716"/>
        <v>2.577902158118528E-2</v>
      </c>
      <c r="Z264" s="113">
        <f t="shared" si="717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/>
      <c r="L265" s="113"/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723">+SUM(C258:C265)+SUM(B266:B269)</f>
        <v>36.329250000000002</v>
      </c>
      <c r="Q265" s="6">
        <f t="shared" si="723"/>
        <v>34.290000000000006</v>
      </c>
      <c r="R265" s="6">
        <f t="shared" si="723"/>
        <v>36.400999999999996</v>
      </c>
      <c r="S265" s="6">
        <f t="shared" si="723"/>
        <v>39.897999999999996</v>
      </c>
      <c r="T265" s="6">
        <f t="shared" si="723"/>
        <v>44.701999999999998</v>
      </c>
      <c r="U265" s="6">
        <f t="shared" si="723"/>
        <v>49.405239999999999</v>
      </c>
      <c r="V265" s="6">
        <f t="shared" si="723"/>
        <v>38.865920000000003</v>
      </c>
      <c r="W265" s="105">
        <f t="shared" si="723"/>
        <v>36.872999999999998</v>
      </c>
      <c r="X265" s="105"/>
      <c r="Y265" s="117"/>
      <c r="Z265" s="113"/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/>
      <c r="L266" s="113"/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724">+SUM(C258:C266)+SUM(B267:B269)</f>
        <v>35.77111</v>
      </c>
      <c r="Q266" s="6">
        <f t="shared" si="724"/>
        <v>34.676000000000002</v>
      </c>
      <c r="R266" s="6">
        <f t="shared" si="724"/>
        <v>36.350999999999999</v>
      </c>
      <c r="S266" s="6">
        <f t="shared" si="724"/>
        <v>40.465999999999994</v>
      </c>
      <c r="T266" s="6">
        <f t="shared" si="724"/>
        <v>45.812000000000005</v>
      </c>
      <c r="U266" s="6">
        <f t="shared" si="724"/>
        <v>48.279400000000003</v>
      </c>
      <c r="V266" s="6">
        <f t="shared" si="724"/>
        <v>38.491759999999999</v>
      </c>
      <c r="W266" s="105">
        <f t="shared" si="724"/>
        <v>36.853999999999999</v>
      </c>
      <c r="X266" s="105"/>
      <c r="Y266" s="117"/>
      <c r="Z266" s="113"/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/>
      <c r="L267" s="113"/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725">+SUM(C258:C267)+SUM(B268:B269)</f>
        <v>35.552</v>
      </c>
      <c r="Q267" s="6">
        <f t="shared" si="725"/>
        <v>35.025000000000006</v>
      </c>
      <c r="R267" s="6">
        <f t="shared" si="725"/>
        <v>36.064999999999998</v>
      </c>
      <c r="S267" s="6">
        <f t="shared" si="725"/>
        <v>40.795000000000002</v>
      </c>
      <c r="T267" s="6">
        <f t="shared" si="725"/>
        <v>46.24</v>
      </c>
      <c r="U267" s="6">
        <f t="shared" si="725"/>
        <v>47.54016</v>
      </c>
      <c r="V267" s="6">
        <f t="shared" si="725"/>
        <v>38.116000000000007</v>
      </c>
      <c r="W267" s="105">
        <f t="shared" si="725"/>
        <v>38.226999999999997</v>
      </c>
      <c r="X267" s="90"/>
      <c r="Y267" s="117"/>
      <c r="Z267" s="113"/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726">+SUM(C258:C268)+SUM(B269)</f>
        <v>35.567</v>
      </c>
      <c r="Q268" s="6">
        <f t="shared" si="726"/>
        <v>34.968000000000011</v>
      </c>
      <c r="R268" s="6">
        <f t="shared" si="726"/>
        <v>36.152999999999999</v>
      </c>
      <c r="S268" s="6">
        <f t="shared" si="726"/>
        <v>41.166999999999994</v>
      </c>
      <c r="T268" s="6">
        <f t="shared" si="726"/>
        <v>46.785000000000004</v>
      </c>
      <c r="U268" s="6">
        <f t="shared" si="726"/>
        <v>46.901160000000004</v>
      </c>
      <c r="V268" s="6">
        <f t="shared" si="726"/>
        <v>38.218000000000004</v>
      </c>
      <c r="W268" s="105">
        <f t="shared" si="726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727">+SUM(C258:C269)</f>
        <v>35.39</v>
      </c>
      <c r="Q269" s="6">
        <f t="shared" si="727"/>
        <v>34.845000000000006</v>
      </c>
      <c r="R269" s="6">
        <f t="shared" si="727"/>
        <v>36.823</v>
      </c>
      <c r="S269" s="6">
        <f t="shared" si="727"/>
        <v>41.183999999999997</v>
      </c>
      <c r="T269" s="6">
        <f t="shared" si="727"/>
        <v>48.606999999999999</v>
      </c>
      <c r="U269" s="6">
        <f t="shared" si="727"/>
        <v>44.830160000000006</v>
      </c>
      <c r="V269" s="6">
        <f t="shared" si="727"/>
        <v>37.529000000000003</v>
      </c>
      <c r="W269" s="105">
        <f t="shared" si="727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728">SUM(C258:C269)</f>
        <v>35.39</v>
      </c>
      <c r="D270" s="219">
        <f t="shared" si="728"/>
        <v>34.845000000000006</v>
      </c>
      <c r="E270" s="219">
        <f t="shared" si="728"/>
        <v>36.823</v>
      </c>
      <c r="F270" s="219">
        <f t="shared" si="728"/>
        <v>41.183999999999997</v>
      </c>
      <c r="G270" s="219">
        <f t="shared" si="728"/>
        <v>48.606999999999999</v>
      </c>
      <c r="H270" s="219">
        <f t="shared" ref="H270:I270" si="729">SUM(H258:H269)</f>
        <v>44.830160000000006</v>
      </c>
      <c r="I270" s="219">
        <f t="shared" si="729"/>
        <v>37.529000000000003</v>
      </c>
      <c r="J270" s="252">
        <f t="shared" ref="J270" si="730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731">+AVERAGE(Q258:Q269)</f>
        <v>35.023416666666677</v>
      </c>
      <c r="R270" s="83">
        <f t="shared" si="731"/>
        <v>35.677916666666668</v>
      </c>
      <c r="S270" s="83">
        <f t="shared" si="731"/>
        <v>39.135583333333329</v>
      </c>
      <c r="T270" s="83">
        <f t="shared" si="731"/>
        <v>44.672166666666669</v>
      </c>
      <c r="U270" s="83">
        <f t="shared" si="731"/>
        <v>48.613750000000003</v>
      </c>
      <c r="V270" s="83">
        <f t="shared" si="731"/>
        <v>40.062743333333337</v>
      </c>
      <c r="W270" s="107">
        <f t="shared" si="731"/>
        <v>36.858666666666664</v>
      </c>
      <c r="X270" s="93">
        <f t="shared" ref="X270" si="732">+AVERAGE(X258:X269)</f>
        <v>38.93871428571429</v>
      </c>
      <c r="Y270" s="119">
        <f>+X270/W270-1</f>
        <v>5.6433067366724154E-2</v>
      </c>
      <c r="Z270" s="173">
        <f>+POWER(X270/S270,0.2)-1</f>
        <v>-1.0081177564790211E-3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733">+C270/C$324</f>
        <v>4.7886576874260865E-2</v>
      </c>
      <c r="D271" s="84">
        <f t="shared" ref="D271" si="734">+D270/D$324</f>
        <v>4.725309596263691E-2</v>
      </c>
      <c r="E271" s="84">
        <f t="shared" ref="E271" si="735">+E270/E$324</f>
        <v>5.0954030257198635E-2</v>
      </c>
      <c r="F271" s="84">
        <f t="shared" ref="F271:G271" si="736">+F270/F$324</f>
        <v>5.7724491140333407E-2</v>
      </c>
      <c r="G271" s="84">
        <f t="shared" si="736"/>
        <v>5.9364500500128849E-2</v>
      </c>
      <c r="H271" s="229">
        <f t="shared" ref="H271:I271" si="737">+H270/H$324</f>
        <v>5.9699280761399492E-2</v>
      </c>
      <c r="I271" s="84">
        <f t="shared" si="737"/>
        <v>5.8889434611841915E-2</v>
      </c>
      <c r="J271" s="109">
        <f t="shared" ref="J271" si="738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739">+P270/P$324</f>
        <v>4.8713693462998031E-2</v>
      </c>
      <c r="Q271" s="84">
        <f t="shared" ref="Q271" si="740">+Q270/Q$324</f>
        <v>4.7341843159960276E-2</v>
      </c>
      <c r="R271" s="84">
        <f t="shared" ref="R271" si="741">+R270/R$324</f>
        <v>4.8396402522963518E-2</v>
      </c>
      <c r="S271" s="84">
        <f t="shared" ref="S271:W271" si="742">+S270/S$324</f>
        <v>5.5202455944895687E-2</v>
      </c>
      <c r="T271" s="84">
        <f t="shared" si="742"/>
        <v>5.8006208497122985E-2</v>
      </c>
      <c r="U271" s="84">
        <f t="shared" si="742"/>
        <v>6.1038299279298887E-2</v>
      </c>
      <c r="V271" s="84">
        <f t="shared" si="742"/>
        <v>5.8680680777204584E-2</v>
      </c>
      <c r="W271" s="109">
        <f t="shared" si="742"/>
        <v>5.7970315482534604E-2</v>
      </c>
      <c r="X271" s="96">
        <f t="shared" ref="X271" si="743">+X270/X$324</f>
        <v>6.0948155462506197E-2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44">+D270/C270-1</f>
        <v>-1.5399830460581909E-2</v>
      </c>
      <c r="E272" s="85">
        <f t="shared" ref="E272" si="745">+E270/D270-1</f>
        <v>5.676567656765652E-2</v>
      </c>
      <c r="F272" s="85">
        <f t="shared" ref="F272:J272" si="746">+F270/E270-1</f>
        <v>0.11843141514814093</v>
      </c>
      <c r="G272" s="85">
        <f t="shared" si="746"/>
        <v>0.18023989898989901</v>
      </c>
      <c r="H272" s="85">
        <f t="shared" si="746"/>
        <v>-7.7701565618120694E-2</v>
      </c>
      <c r="I272" s="85">
        <f t="shared" si="746"/>
        <v>-0.16286267994582226</v>
      </c>
      <c r="J272" s="85">
        <f t="shared" si="746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747">+Q270/P270-1</f>
        <v>-3.5321366584720737E-2</v>
      </c>
      <c r="R272" s="85">
        <f t="shared" ref="R272" si="748">+R270/Q270-1</f>
        <v>1.8687497174509238E-2</v>
      </c>
      <c r="S272" s="85">
        <f t="shared" ref="S272" si="749">+S270/R270-1</f>
        <v>9.6913356768308923E-2</v>
      </c>
      <c r="T272" s="85">
        <f t="shared" ref="T272" si="750">+T270/S270-1</f>
        <v>0.14147184893543185</v>
      </c>
      <c r="U272" s="85">
        <f t="shared" ref="U272" si="751">+U270/T270-1</f>
        <v>8.8233538407584078E-2</v>
      </c>
      <c r="V272" s="85">
        <f t="shared" ref="V272" si="752">+V270/U270-1</f>
        <v>-0.17589687416968791</v>
      </c>
      <c r="W272" s="111">
        <f t="shared" ref="W272:X272" si="753">+W270/V270-1</f>
        <v>-7.9976466913607269E-2</v>
      </c>
      <c r="X272" s="100">
        <f t="shared" si="753"/>
        <v>5.6433067366724154E-2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754">+C275+1</f>
        <v>2018</v>
      </c>
      <c r="E275" s="82">
        <f t="shared" ref="E275" si="755">+D275+1</f>
        <v>2019</v>
      </c>
      <c r="F275" s="82">
        <f t="shared" ref="F275" si="756">+E275+1</f>
        <v>2020</v>
      </c>
      <c r="G275" s="82">
        <f t="shared" ref="G275" si="757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758">+P275+1</f>
        <v>2018</v>
      </c>
      <c r="R275" s="82">
        <f t="shared" ref="R275" si="759">+Q275+1</f>
        <v>2019</v>
      </c>
      <c r="S275" s="82">
        <f t="shared" ref="S275" si="760">+R275+1</f>
        <v>2020</v>
      </c>
      <c r="T275" s="82">
        <f t="shared" ref="T275" si="761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762">+SUM(C276)+SUM(B277:B287)</f>
        <v>16.014680000000002</v>
      </c>
      <c r="Q276" s="6">
        <f t="shared" si="762"/>
        <v>14.431000000000001</v>
      </c>
      <c r="R276" s="6">
        <f t="shared" si="762"/>
        <v>13.268999999999998</v>
      </c>
      <c r="S276" s="6">
        <f t="shared" si="762"/>
        <v>12.779</v>
      </c>
      <c r="T276" s="6">
        <f t="shared" si="762"/>
        <v>11.339</v>
      </c>
      <c r="U276" s="6">
        <f t="shared" si="762"/>
        <v>13.016999999999999</v>
      </c>
      <c r="V276" s="6">
        <f t="shared" si="762"/>
        <v>12.19835</v>
      </c>
      <c r="W276" s="105">
        <f t="shared" si="762"/>
        <v>9.51</v>
      </c>
      <c r="X276" s="90">
        <f t="shared" si="762"/>
        <v>11.271000000000001</v>
      </c>
      <c r="Y276" s="117">
        <f t="shared" ref="Y276:Y277" si="763">+X276/W276-1</f>
        <v>0.18517350157728707</v>
      </c>
      <c r="Z276" s="113">
        <f t="shared" ref="Z276:Z277" si="764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765">+SUM(C276:C277)+SUM(B278:B287)</f>
        <v>15.610469999999999</v>
      </c>
      <c r="Q277" s="6">
        <f t="shared" si="765"/>
        <v>14.334999999999999</v>
      </c>
      <c r="R277" s="6">
        <f t="shared" si="765"/>
        <v>13.632999999999999</v>
      </c>
      <c r="S277" s="6">
        <f t="shared" si="765"/>
        <v>12.490000000000002</v>
      </c>
      <c r="T277" s="6">
        <f t="shared" si="765"/>
        <v>11.374000000000001</v>
      </c>
      <c r="U277" s="6">
        <f t="shared" si="765"/>
        <v>12.958600000000001</v>
      </c>
      <c r="V277" s="6">
        <f t="shared" si="765"/>
        <v>11.899749999999999</v>
      </c>
      <c r="W277" s="105">
        <f t="shared" si="765"/>
        <v>9.9559999999999995</v>
      </c>
      <c r="X277" s="90">
        <f t="shared" si="765"/>
        <v>11.170999999999999</v>
      </c>
      <c r="Y277" s="117">
        <f t="shared" si="763"/>
        <v>0.1220369626355966</v>
      </c>
      <c r="Z277" s="113">
        <f t="shared" si="764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766">+SUM(C276:C278)+SUM(B279:B287)</f>
        <v>15.291699999999999</v>
      </c>
      <c r="Q278" s="6">
        <f t="shared" si="766"/>
        <v>14.442</v>
      </c>
      <c r="R278" s="6">
        <f t="shared" si="766"/>
        <v>13.497</v>
      </c>
      <c r="S278" s="6">
        <f t="shared" si="766"/>
        <v>12.049000000000001</v>
      </c>
      <c r="T278" s="6">
        <f t="shared" si="766"/>
        <v>11.664999999999999</v>
      </c>
      <c r="U278" s="6">
        <f t="shared" si="766"/>
        <v>12.6709</v>
      </c>
      <c r="V278" s="6">
        <f t="shared" si="766"/>
        <v>11.885450000000002</v>
      </c>
      <c r="W278" s="105">
        <f t="shared" si="766"/>
        <v>9.8659999999999997</v>
      </c>
      <c r="X278" s="90">
        <f t="shared" ref="X278" si="767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768">+SUM(C276:C279)+SUM(B280:B287)</f>
        <v>14.6281</v>
      </c>
      <c r="Q279" s="6">
        <f t="shared" si="768"/>
        <v>14.196</v>
      </c>
      <c r="R279" s="6">
        <f t="shared" si="768"/>
        <v>13.420999999999999</v>
      </c>
      <c r="S279" s="6">
        <f t="shared" si="768"/>
        <v>12.305000000000001</v>
      </c>
      <c r="T279" s="6">
        <f t="shared" si="768"/>
        <v>11.253</v>
      </c>
      <c r="U279" s="6">
        <f t="shared" si="768"/>
        <v>12.874700000000001</v>
      </c>
      <c r="V279" s="6">
        <f t="shared" si="768"/>
        <v>11.42065</v>
      </c>
      <c r="W279" s="105">
        <f t="shared" si="768"/>
        <v>10.27</v>
      </c>
      <c r="X279" s="90">
        <f t="shared" ref="X279" si="769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770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771">+SUM(C276:C280)+SUM(B281:B287)</f>
        <v>14.604760000000001</v>
      </c>
      <c r="Q280" s="6">
        <f t="shared" si="771"/>
        <v>13.962999999999999</v>
      </c>
      <c r="R280" s="6">
        <f t="shared" si="771"/>
        <v>13.517999999999999</v>
      </c>
      <c r="S280" s="6">
        <f t="shared" si="771"/>
        <v>12.163</v>
      </c>
      <c r="T280" s="6">
        <f t="shared" si="771"/>
        <v>11.236000000000001</v>
      </c>
      <c r="U280" s="6">
        <f t="shared" si="771"/>
        <v>13.12519</v>
      </c>
      <c r="V280" s="6">
        <f t="shared" si="771"/>
        <v>11.12616</v>
      </c>
      <c r="W280" s="105">
        <f t="shared" si="771"/>
        <v>10.422999999999998</v>
      </c>
      <c r="X280" s="90">
        <f t="shared" ref="X280" si="772">+SUM(K276:K280)+SUM(J281:J287)</f>
        <v>11.536</v>
      </c>
      <c r="Y280" s="117">
        <f t="shared" ref="Y280:Y282" si="773">+X280/W280-1</f>
        <v>0.10678307588985914</v>
      </c>
      <c r="Z280" s="113">
        <f t="shared" ref="Z280:Z282" si="774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770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775">+SUM(C276:C281)+SUM(B282:B287)</f>
        <v>14.580159999999999</v>
      </c>
      <c r="Q281" s="6">
        <f t="shared" si="775"/>
        <v>14.058</v>
      </c>
      <c r="R281" s="6">
        <f t="shared" si="775"/>
        <v>13.184000000000001</v>
      </c>
      <c r="S281" s="6">
        <f t="shared" si="775"/>
        <v>11.990000000000002</v>
      </c>
      <c r="T281" s="6">
        <f t="shared" si="775"/>
        <v>11.798999999999999</v>
      </c>
      <c r="U281" s="6">
        <f t="shared" si="775"/>
        <v>12.91685</v>
      </c>
      <c r="V281" s="6">
        <f t="shared" si="775"/>
        <v>10.8765</v>
      </c>
      <c r="W281" s="105">
        <f t="shared" si="775"/>
        <v>10.279</v>
      </c>
      <c r="X281" s="90">
        <f t="shared" ref="X281" si="776">+SUM(K276:K281)+SUM(J282:J287)</f>
        <v>11.946000000000002</v>
      </c>
      <c r="Y281" s="117">
        <f t="shared" si="773"/>
        <v>0.16217530888218712</v>
      </c>
      <c r="Z281" s="113">
        <f t="shared" si="774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777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778">+SUM(C276:C282)+SUM(B283:B287)</f>
        <v>14.770320000000002</v>
      </c>
      <c r="Q282" s="6">
        <f t="shared" si="778"/>
        <v>14.015000000000001</v>
      </c>
      <c r="R282" s="6">
        <f t="shared" si="778"/>
        <v>13.378</v>
      </c>
      <c r="S282" s="6">
        <f t="shared" si="778"/>
        <v>11.440000000000001</v>
      </c>
      <c r="T282" s="6">
        <f t="shared" si="778"/>
        <v>12.042999999999999</v>
      </c>
      <c r="U282" s="6">
        <f t="shared" si="778"/>
        <v>12.641970000000001</v>
      </c>
      <c r="V282" s="6">
        <f t="shared" si="778"/>
        <v>10.90138</v>
      </c>
      <c r="W282" s="105">
        <f t="shared" si="778"/>
        <v>10.702999999999999</v>
      </c>
      <c r="X282" s="90">
        <f t="shared" ref="X282" si="779">+SUM(K276:K282)+SUM(J283:J287)</f>
        <v>11.66</v>
      </c>
      <c r="Y282" s="117">
        <f t="shared" si="773"/>
        <v>8.9414182939362874E-2</v>
      </c>
      <c r="Z282" s="113">
        <f t="shared" si="774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/>
      <c r="L283" s="113"/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780">+SUM(C276:C283)+SUM(B284:B287)</f>
        <v>14.601410000000001</v>
      </c>
      <c r="Q283" s="6">
        <f t="shared" si="780"/>
        <v>14.092000000000001</v>
      </c>
      <c r="R283" s="6">
        <f t="shared" si="780"/>
        <v>13.11</v>
      </c>
      <c r="S283" s="6">
        <f t="shared" si="780"/>
        <v>11.208</v>
      </c>
      <c r="T283" s="6">
        <f t="shared" si="780"/>
        <v>12.154</v>
      </c>
      <c r="U283" s="6">
        <f t="shared" si="780"/>
        <v>12.72845</v>
      </c>
      <c r="V283" s="6">
        <f t="shared" si="780"/>
        <v>10.600899999999999</v>
      </c>
      <c r="W283" s="105">
        <f t="shared" si="780"/>
        <v>10.704000000000001</v>
      </c>
      <c r="X283" s="105"/>
      <c r="Y283" s="117"/>
      <c r="Z283" s="113"/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/>
      <c r="L284" s="113"/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781">+SUM(C276:C284)+SUM(B285:B287)</f>
        <v>14.461920000000001</v>
      </c>
      <c r="Q284" s="6">
        <f t="shared" si="781"/>
        <v>13.741</v>
      </c>
      <c r="R284" s="6">
        <f t="shared" si="781"/>
        <v>13.2</v>
      </c>
      <c r="S284" s="6">
        <f t="shared" si="781"/>
        <v>11.481999999999999</v>
      </c>
      <c r="T284" s="6">
        <f t="shared" si="781"/>
        <v>12.334999999999999</v>
      </c>
      <c r="U284" s="6">
        <f t="shared" si="781"/>
        <v>12.687310000000002</v>
      </c>
      <c r="V284" s="6">
        <f t="shared" si="781"/>
        <v>10.121040000000001</v>
      </c>
      <c r="W284" s="105">
        <f t="shared" si="781"/>
        <v>10.775000000000002</v>
      </c>
      <c r="X284" s="105"/>
      <c r="Y284" s="117"/>
      <c r="Z284" s="113"/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/>
      <c r="L285" s="113"/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782">+SUM(C276:C285)+SUM(B286:B287)</f>
        <v>14.511000000000001</v>
      </c>
      <c r="Q285" s="6">
        <f t="shared" si="782"/>
        <v>13.654999999999999</v>
      </c>
      <c r="R285" s="6">
        <f t="shared" si="782"/>
        <v>13.046999999999997</v>
      </c>
      <c r="S285" s="6">
        <f t="shared" si="782"/>
        <v>11.401</v>
      </c>
      <c r="T285" s="6">
        <f t="shared" si="782"/>
        <v>12.328999999999999</v>
      </c>
      <c r="U285" s="6">
        <f t="shared" si="782"/>
        <v>12.917350000000003</v>
      </c>
      <c r="V285" s="6">
        <f t="shared" si="782"/>
        <v>9.8360000000000003</v>
      </c>
      <c r="W285" s="105">
        <f t="shared" si="782"/>
        <v>11.091000000000001</v>
      </c>
      <c r="X285" s="90"/>
      <c r="Y285" s="117"/>
      <c r="Z285" s="113"/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783">+SUM(C276:C286)+SUM(B287)</f>
        <v>14.577000000000002</v>
      </c>
      <c r="Q286" s="6">
        <f t="shared" si="783"/>
        <v>13.504999999999999</v>
      </c>
      <c r="R286" s="6">
        <f t="shared" si="783"/>
        <v>13.010999999999997</v>
      </c>
      <c r="S286" s="6">
        <f t="shared" si="783"/>
        <v>11.299999999999999</v>
      </c>
      <c r="T286" s="6">
        <f t="shared" si="783"/>
        <v>12.578999999999997</v>
      </c>
      <c r="U286" s="6">
        <f t="shared" si="783"/>
        <v>12.659350000000002</v>
      </c>
      <c r="V286" s="6">
        <f t="shared" si="783"/>
        <v>9.6989999999999998</v>
      </c>
      <c r="W286" s="105">
        <f t="shared" si="783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784">+SUM(C276:C287)</f>
        <v>14.392000000000001</v>
      </c>
      <c r="Q287" s="6">
        <f t="shared" si="784"/>
        <v>13.507999999999999</v>
      </c>
      <c r="R287" s="6">
        <f t="shared" si="784"/>
        <v>12.753999999999998</v>
      </c>
      <c r="S287" s="6">
        <f t="shared" si="784"/>
        <v>11.468999999999998</v>
      </c>
      <c r="T287" s="6">
        <f t="shared" si="784"/>
        <v>12.858999999999998</v>
      </c>
      <c r="U287" s="6">
        <f t="shared" si="784"/>
        <v>12.261350000000002</v>
      </c>
      <c r="V287" s="6">
        <f t="shared" si="784"/>
        <v>9.6389999999999993</v>
      </c>
      <c r="W287" s="105">
        <f t="shared" si="784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785">SUM(C276:C287)</f>
        <v>14.392000000000001</v>
      </c>
      <c r="D288" s="219">
        <f t="shared" si="785"/>
        <v>13.507999999999999</v>
      </c>
      <c r="E288" s="219">
        <f t="shared" si="785"/>
        <v>12.753999999999998</v>
      </c>
      <c r="F288" s="219">
        <f t="shared" si="785"/>
        <v>11.468999999999998</v>
      </c>
      <c r="G288" s="219">
        <f t="shared" si="785"/>
        <v>12.858999999999998</v>
      </c>
      <c r="H288" s="219">
        <f t="shared" ref="H288" si="786">SUM(H276:H287)</f>
        <v>12.261350000000002</v>
      </c>
      <c r="I288" s="219">
        <f t="shared" ref="I288:J288" si="787">SUM(I276:I287)</f>
        <v>9.6389999999999993</v>
      </c>
      <c r="J288" s="252">
        <f t="shared" si="787"/>
        <v>11.171000000000001</v>
      </c>
      <c r="K288" s="251"/>
      <c r="L288" s="173"/>
      <c r="M288" s="3"/>
      <c r="N288" s="92" t="s">
        <v>14</v>
      </c>
      <c r="O288" s="106">
        <f t="shared" ref="O288" si="788">+AVERAGE(O276:O287)</f>
        <v>16.120710314116668</v>
      </c>
      <c r="P288" s="83">
        <f>+AVERAGE(P276:P287)</f>
        <v>14.836959999999999</v>
      </c>
      <c r="Q288" s="83">
        <f t="shared" ref="Q288:W288" si="789">+AVERAGE(Q276:Q287)</f>
        <v>13.995083333333332</v>
      </c>
      <c r="R288" s="83">
        <f t="shared" si="789"/>
        <v>13.251833333333332</v>
      </c>
      <c r="S288" s="83">
        <f t="shared" si="789"/>
        <v>11.839666666666666</v>
      </c>
      <c r="T288" s="83">
        <f t="shared" si="789"/>
        <v>11.91375</v>
      </c>
      <c r="U288" s="83">
        <f t="shared" si="789"/>
        <v>12.788251666666666</v>
      </c>
      <c r="V288" s="83">
        <f t="shared" si="789"/>
        <v>10.850348333333335</v>
      </c>
      <c r="W288" s="107">
        <f t="shared" si="789"/>
        <v>10.477500000000003</v>
      </c>
      <c r="X288" s="93">
        <f t="shared" ref="X288" si="790">+AVERAGE(X276:X287)</f>
        <v>11.447142857142856</v>
      </c>
      <c r="Y288" s="119">
        <f>+X288/W288-1</f>
        <v>9.2545250025564574E-2</v>
      </c>
      <c r="Z288" s="173">
        <f>+POWER(X288/S288,0.2)-1</f>
        <v>-6.7203784067841887E-3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791">+C288/C$324</f>
        <v>1.9473964802892409E-2</v>
      </c>
      <c r="D289" s="84">
        <f t="shared" ref="D289" si="792">+D288/D$324</f>
        <v>1.8318117958481827E-2</v>
      </c>
      <c r="E289" s="84">
        <f t="shared" ref="E289" si="793">+E288/E$324</f>
        <v>1.7648418159854202E-2</v>
      </c>
      <c r="F289" s="84">
        <f t="shared" ref="F289:G289" si="794">+F288/F$324</f>
        <v>1.607522797417647E-2</v>
      </c>
      <c r="G289" s="84">
        <f t="shared" si="794"/>
        <v>1.5704900774192128E-2</v>
      </c>
      <c r="H289" s="229">
        <f t="shared" ref="H289" si="795">+H288/H$324</f>
        <v>1.6328154442540148E-2</v>
      </c>
      <c r="I289" s="84">
        <f t="shared" ref="I289:J289" si="796">+I288/I$324</f>
        <v>1.5125243417718141E-2</v>
      </c>
      <c r="J289" s="109">
        <f t="shared" si="796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797">+P288/P$324</f>
        <v>1.9907656264238217E-2</v>
      </c>
      <c r="Q289" s="84">
        <f t="shared" ref="Q289" si="798">+Q288/Q$324</f>
        <v>1.8917430200572679E-2</v>
      </c>
      <c r="R289" s="84">
        <f t="shared" ref="R289" si="799">+R288/R$324</f>
        <v>1.7975855097122878E-2</v>
      </c>
      <c r="S289" s="84">
        <f t="shared" ref="S289:W289" si="800">+S288/S$324</f>
        <v>1.6700368868968352E-2</v>
      </c>
      <c r="T289" s="84">
        <f t="shared" si="800"/>
        <v>1.54698443807128E-2</v>
      </c>
      <c r="U289" s="84">
        <f t="shared" si="800"/>
        <v>1.6056632793993317E-2</v>
      </c>
      <c r="V289" s="84">
        <f t="shared" si="800"/>
        <v>1.5892716621331567E-2</v>
      </c>
      <c r="W289" s="109">
        <f t="shared" si="800"/>
        <v>1.6478729031659398E-2</v>
      </c>
      <c r="X289" s="96">
        <f t="shared" ref="X289" si="801">+X288/X$324</f>
        <v>1.7917444251995335E-2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02">+D288/C288-1</f>
        <v>-6.1423012784880604E-2</v>
      </c>
      <c r="E290" s="85">
        <f t="shared" ref="E290" si="803">+E288/D288-1</f>
        <v>-5.5818774059816501E-2</v>
      </c>
      <c r="F290" s="85">
        <f t="shared" ref="F290:J290" si="804">+F288/E288-1</f>
        <v>-0.10075270503371492</v>
      </c>
      <c r="G290" s="85">
        <f t="shared" si="804"/>
        <v>0.12119626820123819</v>
      </c>
      <c r="H290" s="85">
        <f t="shared" si="804"/>
        <v>-4.6477175519091363E-2</v>
      </c>
      <c r="I290" s="85">
        <f t="shared" si="804"/>
        <v>-0.21387122951387916</v>
      </c>
      <c r="J290" s="85">
        <f t="shared" si="804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805">+Q288/P288-1</f>
        <v>-5.6741857271750296E-2</v>
      </c>
      <c r="R290" s="85">
        <f t="shared" ref="R290" si="806">+R288/Q288-1</f>
        <v>-5.3107936715870441E-2</v>
      </c>
      <c r="S290" s="85">
        <f t="shared" ref="S290" si="807">+S288/R288-1</f>
        <v>-0.1065638716655557</v>
      </c>
      <c r="T290" s="85">
        <f t="shared" ref="T290" si="808">+T288/S288-1</f>
        <v>6.2572144486050529E-3</v>
      </c>
      <c r="U290" s="85">
        <f t="shared" ref="U290" si="809">+U288/T288-1</f>
        <v>7.3402720945686006E-2</v>
      </c>
      <c r="V290" s="85">
        <f t="shared" ref="V290" si="810">+V288/U288-1</f>
        <v>-0.1515377851363835</v>
      </c>
      <c r="W290" s="111">
        <f t="shared" ref="W290:X290" si="811">+W288/V288-1</f>
        <v>-3.4362798490801039E-2</v>
      </c>
      <c r="X290" s="100">
        <f t="shared" si="811"/>
        <v>9.2545250025564574E-2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812">+C293+1</f>
        <v>2018</v>
      </c>
      <c r="E293" s="82">
        <f t="shared" ref="E293" si="813">+D293+1</f>
        <v>2019</v>
      </c>
      <c r="F293" s="82">
        <f t="shared" ref="F293" si="814">+E293+1</f>
        <v>2020</v>
      </c>
      <c r="G293" s="82">
        <f t="shared" ref="G293" si="815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816">+P293+1</f>
        <v>2018</v>
      </c>
      <c r="R293" s="82">
        <f t="shared" ref="R293" si="817">+Q293+1</f>
        <v>2019</v>
      </c>
      <c r="S293" s="82">
        <f t="shared" ref="S293" si="818">+R293+1</f>
        <v>2020</v>
      </c>
      <c r="T293" s="82">
        <f t="shared" ref="T293" si="819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820">+SUM(C294)+SUM(B295:B305)</f>
        <v>115.82024000000001</v>
      </c>
      <c r="Q294" s="6">
        <f t="shared" si="820"/>
        <v>107.46799999999999</v>
      </c>
      <c r="R294" s="6">
        <f t="shared" si="820"/>
        <v>107.75699999999999</v>
      </c>
      <c r="S294" s="6">
        <f t="shared" si="820"/>
        <v>103.99900000000001</v>
      </c>
      <c r="T294" s="6">
        <f t="shared" si="820"/>
        <v>101.23399999999999</v>
      </c>
      <c r="U294" s="6">
        <f t="shared" si="820"/>
        <v>116.05100000000002</v>
      </c>
      <c r="V294" s="6">
        <f t="shared" si="820"/>
        <v>98.364145000000008</v>
      </c>
      <c r="W294" s="105">
        <f t="shared" si="820"/>
        <v>82.16273000000001</v>
      </c>
      <c r="X294" s="90">
        <f t="shared" si="820"/>
        <v>82.390999999999991</v>
      </c>
      <c r="Y294" s="117">
        <f t="shared" ref="Y294:Y295" si="821">+X294/W294-1</f>
        <v>2.7782669830953566E-3</v>
      </c>
      <c r="Z294" s="113">
        <f t="shared" ref="Z294:Z295" si="822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823">+SUM(C294:C295)+SUM(B296:B305)</f>
        <v>114.05617000000001</v>
      </c>
      <c r="Q295" s="6">
        <f t="shared" si="823"/>
        <v>108.43399999999998</v>
      </c>
      <c r="R295" s="6">
        <f t="shared" si="823"/>
        <v>106.85999999999999</v>
      </c>
      <c r="S295" s="6">
        <f t="shared" si="823"/>
        <v>104.75399999999999</v>
      </c>
      <c r="T295" s="6">
        <f t="shared" si="823"/>
        <v>101.288</v>
      </c>
      <c r="U295" s="6">
        <f t="shared" si="823"/>
        <v>114.54989999999999</v>
      </c>
      <c r="V295" s="6">
        <f t="shared" si="823"/>
        <v>97.841245000000015</v>
      </c>
      <c r="W295" s="105">
        <f t="shared" si="823"/>
        <v>81.449729999999988</v>
      </c>
      <c r="X295" s="90">
        <f t="shared" si="823"/>
        <v>82.323000000000008</v>
      </c>
      <c r="Y295" s="117">
        <f t="shared" si="821"/>
        <v>1.0721582502483562E-2</v>
      </c>
      <c r="Z295" s="113">
        <f t="shared" si="822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824">+SUM(C294:C296)+SUM(B297:B305)</f>
        <v>112.44934000000001</v>
      </c>
      <c r="Q296" s="6">
        <f t="shared" si="824"/>
        <v>108.12899999999999</v>
      </c>
      <c r="R296" s="6">
        <f t="shared" si="824"/>
        <v>107.18499999999997</v>
      </c>
      <c r="S296" s="6">
        <f t="shared" si="824"/>
        <v>103.459</v>
      </c>
      <c r="T296" s="6">
        <f t="shared" si="824"/>
        <v>104.01499999999999</v>
      </c>
      <c r="U296" s="6">
        <f t="shared" si="824"/>
        <v>112.4509</v>
      </c>
      <c r="V296" s="6">
        <f t="shared" si="824"/>
        <v>99.146244999999993</v>
      </c>
      <c r="W296" s="105">
        <f t="shared" si="824"/>
        <v>77.796729999999997</v>
      </c>
      <c r="X296" s="90">
        <f t="shared" ref="X296" si="825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826">+SUM(C294:C297)+SUM(B298:B305)</f>
        <v>110.11897999999999</v>
      </c>
      <c r="Q297" s="6">
        <f t="shared" si="826"/>
        <v>107.07399999999998</v>
      </c>
      <c r="R297" s="6">
        <f t="shared" si="826"/>
        <v>108.66099999999999</v>
      </c>
      <c r="S297" s="6">
        <f t="shared" si="826"/>
        <v>102.87599999999999</v>
      </c>
      <c r="T297" s="6">
        <f t="shared" si="826"/>
        <v>105.37499999999999</v>
      </c>
      <c r="U297" s="6">
        <f t="shared" si="826"/>
        <v>110.29470500000001</v>
      </c>
      <c r="V297" s="6">
        <f t="shared" si="826"/>
        <v>97.665230000000008</v>
      </c>
      <c r="W297" s="105">
        <f t="shared" si="826"/>
        <v>78.560940000000002</v>
      </c>
      <c r="X297" s="90">
        <f t="shared" ref="X297" si="827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828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829">+SUM(C294:C298)+SUM(B299:B305)</f>
        <v>108.90593000000001</v>
      </c>
      <c r="Q298" s="6">
        <f t="shared" si="829"/>
        <v>107.273</v>
      </c>
      <c r="R298" s="6">
        <f t="shared" si="829"/>
        <v>109.97199999999998</v>
      </c>
      <c r="S298" s="6">
        <f t="shared" si="829"/>
        <v>101.233</v>
      </c>
      <c r="T298" s="6">
        <f t="shared" si="829"/>
        <v>108.654</v>
      </c>
      <c r="U298" s="6">
        <f t="shared" si="829"/>
        <v>108.89906500000001</v>
      </c>
      <c r="V298" s="6">
        <f t="shared" si="829"/>
        <v>94.892870000000002</v>
      </c>
      <c r="W298" s="105">
        <f t="shared" si="829"/>
        <v>79.336939999999998</v>
      </c>
      <c r="X298" s="90">
        <f t="shared" ref="X298" si="830">+SUM(K294:K298)+SUM(J299:J305)</f>
        <v>81.241</v>
      </c>
      <c r="Y298" s="117">
        <f t="shared" ref="Y298:Y300" si="831">+X298/W298-1</f>
        <v>2.3999665225303612E-2</v>
      </c>
      <c r="Z298" s="113">
        <f t="shared" ref="Z298:Z300" si="832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828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833">+SUM(C294:C299)+SUM(B300:B305)</f>
        <v>110.39907000000002</v>
      </c>
      <c r="Q299" s="6">
        <f t="shared" si="833"/>
        <v>105.78</v>
      </c>
      <c r="R299" s="6">
        <f t="shared" si="833"/>
        <v>108.55099999999999</v>
      </c>
      <c r="S299" s="6">
        <f t="shared" si="833"/>
        <v>101.78300000000002</v>
      </c>
      <c r="T299" s="6">
        <f t="shared" si="833"/>
        <v>112.093</v>
      </c>
      <c r="U299" s="6">
        <f t="shared" si="833"/>
        <v>109.982795</v>
      </c>
      <c r="V299" s="6">
        <f t="shared" si="833"/>
        <v>92.365080000000006</v>
      </c>
      <c r="W299" s="105">
        <f t="shared" si="833"/>
        <v>79.05</v>
      </c>
      <c r="X299" s="90">
        <f t="shared" ref="X299" si="834">+SUM(K294:K299)+SUM(J300:J305)</f>
        <v>77.722000000000008</v>
      </c>
      <c r="Y299" s="117">
        <f t="shared" si="831"/>
        <v>-1.6799493991144665E-2</v>
      </c>
      <c r="Z299" s="113">
        <f t="shared" si="832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835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836">+SUM(C294:C300)+SUM(B301:B305)</f>
        <v>109.57979</v>
      </c>
      <c r="Q300" s="6">
        <f t="shared" si="836"/>
        <v>107.303</v>
      </c>
      <c r="R300" s="6">
        <f t="shared" si="836"/>
        <v>109.625</v>
      </c>
      <c r="S300" s="6">
        <f t="shared" si="836"/>
        <v>101.511</v>
      </c>
      <c r="T300" s="6">
        <f t="shared" si="836"/>
        <v>111.80200000000001</v>
      </c>
      <c r="U300" s="6">
        <f t="shared" si="836"/>
        <v>106.46855500000001</v>
      </c>
      <c r="V300" s="6">
        <f t="shared" si="836"/>
        <v>91.321320000000014</v>
      </c>
      <c r="W300" s="105">
        <f t="shared" si="836"/>
        <v>82.944999999999993</v>
      </c>
      <c r="X300" s="90">
        <f t="shared" ref="X300" si="837">+SUM(K294:K300)+SUM(J301:J305)</f>
        <v>74.234999999999999</v>
      </c>
      <c r="Y300" s="117">
        <f t="shared" si="831"/>
        <v>-0.10500934354090052</v>
      </c>
      <c r="Z300" s="113">
        <f t="shared" si="832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/>
      <c r="L301" s="113"/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838">+SUM(C294:C301)+SUM(B302:B305)</f>
        <v>110.08411000000001</v>
      </c>
      <c r="Q301" s="6">
        <f t="shared" si="838"/>
        <v>107.27699999999999</v>
      </c>
      <c r="R301" s="6">
        <f t="shared" si="838"/>
        <v>108.50399999999999</v>
      </c>
      <c r="S301" s="6">
        <f t="shared" si="838"/>
        <v>98.876999999999995</v>
      </c>
      <c r="T301" s="6">
        <f t="shared" si="838"/>
        <v>112.85700000000001</v>
      </c>
      <c r="U301" s="6">
        <f t="shared" si="838"/>
        <v>106.904725</v>
      </c>
      <c r="V301" s="6">
        <f t="shared" si="838"/>
        <v>89.493150000000014</v>
      </c>
      <c r="W301" s="105">
        <f t="shared" si="838"/>
        <v>81.748999999999995</v>
      </c>
      <c r="X301" s="105"/>
      <c r="Y301" s="117"/>
      <c r="Z301" s="113"/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/>
      <c r="L302" s="113"/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839">+SUM(C294:C302)+SUM(B303:B305)</f>
        <v>108.54055000000001</v>
      </c>
      <c r="Q302" s="6">
        <f t="shared" si="839"/>
        <v>106.48</v>
      </c>
      <c r="R302" s="6">
        <f t="shared" si="839"/>
        <v>107.69899999999998</v>
      </c>
      <c r="S302" s="6">
        <f t="shared" si="839"/>
        <v>101.90899999999999</v>
      </c>
      <c r="T302" s="6">
        <f t="shared" si="839"/>
        <v>113.07600000000001</v>
      </c>
      <c r="U302" s="6">
        <f t="shared" si="839"/>
        <v>106.32188500000001</v>
      </c>
      <c r="V302" s="6">
        <f t="shared" si="839"/>
        <v>88.068989999999999</v>
      </c>
      <c r="W302" s="105">
        <f t="shared" si="839"/>
        <v>80.171999999999997</v>
      </c>
      <c r="X302" s="105"/>
      <c r="Y302" s="117"/>
      <c r="Z302" s="113"/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/>
      <c r="L303" s="113"/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840">+SUM(C294:C303)+SUM(B304:B305)</f>
        <v>108.371</v>
      </c>
      <c r="Q303" s="6">
        <f t="shared" si="840"/>
        <v>106.55600000000001</v>
      </c>
      <c r="R303" s="6">
        <f t="shared" si="840"/>
        <v>106.93099999999998</v>
      </c>
      <c r="S303" s="6">
        <f t="shared" si="840"/>
        <v>101.76499999999999</v>
      </c>
      <c r="T303" s="6">
        <f t="shared" si="840"/>
        <v>114.01700000000001</v>
      </c>
      <c r="U303" s="6">
        <f t="shared" si="840"/>
        <v>104.94614500000002</v>
      </c>
      <c r="V303" s="6">
        <f t="shared" si="840"/>
        <v>85.311730000000011</v>
      </c>
      <c r="W303" s="105">
        <f t="shared" si="840"/>
        <v>81.305000000000007</v>
      </c>
      <c r="X303" s="90"/>
      <c r="Y303" s="117"/>
      <c r="Z303" s="113"/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841">+SUM(C294:C304)+SUM(B305)</f>
        <v>108.86399999999999</v>
      </c>
      <c r="Q304" s="6">
        <f t="shared" si="841"/>
        <v>106.809</v>
      </c>
      <c r="R304" s="6">
        <f t="shared" si="841"/>
        <v>105.30699999999999</v>
      </c>
      <c r="S304" s="6">
        <f t="shared" si="841"/>
        <v>103.00899999999999</v>
      </c>
      <c r="T304" s="6">
        <f t="shared" si="841"/>
        <v>114.74400000000001</v>
      </c>
      <c r="U304" s="6">
        <f t="shared" si="841"/>
        <v>102.07314500000001</v>
      </c>
      <c r="V304" s="6">
        <f t="shared" si="841"/>
        <v>84.318730000000016</v>
      </c>
      <c r="W304" s="105">
        <f t="shared" si="841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842">+SUM(C294:C305)</f>
        <v>108.32399999999998</v>
      </c>
      <c r="Q305" s="6">
        <f t="shared" si="842"/>
        <v>106.815</v>
      </c>
      <c r="R305" s="6">
        <f t="shared" si="842"/>
        <v>104.33999999999999</v>
      </c>
      <c r="S305" s="6">
        <f t="shared" si="842"/>
        <v>103.41999999999999</v>
      </c>
      <c r="T305" s="6">
        <f t="shared" si="842"/>
        <v>115.73200000000001</v>
      </c>
      <c r="U305" s="6">
        <f t="shared" si="842"/>
        <v>99.361145000000022</v>
      </c>
      <c r="V305" s="6">
        <f t="shared" si="842"/>
        <v>83.427730000000011</v>
      </c>
      <c r="W305" s="105">
        <f t="shared" si="842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843">SUM(C294:C305)</f>
        <v>108.32399999999998</v>
      </c>
      <c r="D306" s="219">
        <f t="shared" si="843"/>
        <v>106.815</v>
      </c>
      <c r="E306" s="219">
        <f t="shared" si="843"/>
        <v>104.33999999999999</v>
      </c>
      <c r="F306" s="219">
        <f t="shared" si="843"/>
        <v>103.41999999999999</v>
      </c>
      <c r="G306" s="219">
        <f t="shared" si="843"/>
        <v>115.73200000000001</v>
      </c>
      <c r="H306" s="219">
        <f t="shared" ref="H306:I306" si="844">SUM(H294:H305)</f>
        <v>99.361145000000022</v>
      </c>
      <c r="I306" s="219">
        <f t="shared" si="844"/>
        <v>83.427730000000011</v>
      </c>
      <c r="J306" s="252">
        <f t="shared" ref="J306" si="845">SUM(J294:J305)</f>
        <v>82.86</v>
      </c>
      <c r="K306" s="251"/>
      <c r="L306" s="173"/>
      <c r="M306" s="3"/>
      <c r="N306" s="92" t="s">
        <v>14</v>
      </c>
      <c r="O306" s="106">
        <f t="shared" ref="O306" si="846">+AVERAGE(O294:O305)</f>
        <v>116.19054826472501</v>
      </c>
      <c r="P306" s="83">
        <f>+AVERAGE(P294:P305)</f>
        <v>110.4594316666667</v>
      </c>
      <c r="Q306" s="83">
        <f t="shared" ref="Q306:W306" si="847">+AVERAGE(Q294:Q305)</f>
        <v>107.11649999999999</v>
      </c>
      <c r="R306" s="83">
        <f t="shared" si="847"/>
        <v>107.61599999999999</v>
      </c>
      <c r="S306" s="83">
        <f t="shared" si="847"/>
        <v>102.38291666666665</v>
      </c>
      <c r="T306" s="83">
        <f t="shared" si="847"/>
        <v>109.57391666666666</v>
      </c>
      <c r="U306" s="83">
        <f t="shared" si="847"/>
        <v>108.19199708333336</v>
      </c>
      <c r="V306" s="83">
        <f t="shared" si="847"/>
        <v>91.851372083333345</v>
      </c>
      <c r="W306" s="107">
        <f t="shared" si="847"/>
        <v>80.798255833333343</v>
      </c>
      <c r="X306" s="93">
        <f t="shared" ref="X306" si="848">+AVERAGE(X294:X305)</f>
        <v>80.712142857142865</v>
      </c>
      <c r="Y306" s="119">
        <f>+X306/W306-1</f>
        <v>-1.0657776619350523E-3</v>
      </c>
      <c r="Z306" s="173">
        <f>+POWER(X306/S306,0.2)-1</f>
        <v>-4.6452622551930944E-2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849">+C306/C$324</f>
        <v>0.14657433041332107</v>
      </c>
      <c r="D307" s="84">
        <f t="shared" ref="D307" si="850">+D306/D$324</f>
        <v>0.14485118224276253</v>
      </c>
      <c r="E307" s="84">
        <f t="shared" ref="E307" si="851">+E306/E$324</f>
        <v>0.14438105306564117</v>
      </c>
      <c r="F307" s="84">
        <f t="shared" ref="F307:G307" si="852">+F306/F$324</f>
        <v>0.14495597498381121</v>
      </c>
      <c r="G307" s="84">
        <f t="shared" si="852"/>
        <v>0.14134532828359933</v>
      </c>
      <c r="H307" s="229">
        <f t="shared" ref="H307:I307" si="853">+H306/H$324</f>
        <v>0.1323169244126973</v>
      </c>
      <c r="I307" s="84">
        <f t="shared" si="853"/>
        <v>0.13091241041992599</v>
      </c>
      <c r="J307" s="109">
        <f t="shared" ref="J307" si="854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855">+P306/P$324</f>
        <v>0.14821017221608138</v>
      </c>
      <c r="Q307" s="84">
        <f t="shared" ref="Q307" si="856">+Q306/Q$324</f>
        <v>0.1447914859680228</v>
      </c>
      <c r="R307" s="84">
        <f t="shared" ref="R307" si="857">+R306/R$324</f>
        <v>0.14597901840992886</v>
      </c>
      <c r="S307" s="84">
        <f t="shared" ref="S307:W307" si="858">+S306/S$324</f>
        <v>0.14441559229264739</v>
      </c>
      <c r="T307" s="84">
        <f t="shared" si="858"/>
        <v>0.14228025928179841</v>
      </c>
      <c r="U307" s="84">
        <f t="shared" si="858"/>
        <v>0.13584336731063812</v>
      </c>
      <c r="V307" s="84">
        <f t="shared" si="858"/>
        <v>0.13453649440141494</v>
      </c>
      <c r="W307" s="109">
        <f t="shared" si="858"/>
        <v>0.127077314636907</v>
      </c>
      <c r="X307" s="96">
        <f t="shared" ref="X307" si="859">+X306/X$324</f>
        <v>0.12633329889821024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60">+D306/C306-1</f>
        <v>-1.3930430929433801E-2</v>
      </c>
      <c r="E308" s="85">
        <f t="shared" ref="E308" si="861">+E306/D306-1</f>
        <v>-2.3170902963067119E-2</v>
      </c>
      <c r="F308" s="85">
        <f t="shared" ref="F308:J308" si="862">+F306/E306-1</f>
        <v>-8.8173279662641102E-3</v>
      </c>
      <c r="G308" s="85">
        <f t="shared" si="862"/>
        <v>0.11904853993424891</v>
      </c>
      <c r="H308" s="85">
        <f t="shared" si="862"/>
        <v>-0.14145486987177258</v>
      </c>
      <c r="I308" s="85">
        <f t="shared" si="862"/>
        <v>-0.16035860899147258</v>
      </c>
      <c r="J308" s="85">
        <f t="shared" si="862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863">+Q306/P306-1</f>
        <v>-3.0263886172750554E-2</v>
      </c>
      <c r="R308" s="85">
        <f t="shared" ref="R308" si="864">+R306/Q306-1</f>
        <v>4.6631471341949116E-3</v>
      </c>
      <c r="S308" s="85">
        <f t="shared" ref="S308" si="865">+S306/R306-1</f>
        <v>-4.8627372633561428E-2</v>
      </c>
      <c r="T308" s="85">
        <f t="shared" ref="T308" si="866">+T306/S306-1</f>
        <v>7.0236326861170761E-2</v>
      </c>
      <c r="U308" s="85">
        <f t="shared" ref="U308" si="867">+U306/T306-1</f>
        <v>-1.2611756751720549E-2</v>
      </c>
      <c r="V308" s="85">
        <f t="shared" ref="V308" si="868">+V306/U306-1</f>
        <v>-0.1510335832641474</v>
      </c>
      <c r="W308" s="111">
        <f t="shared" ref="W308:X308" si="869">+W306/V306-1</f>
        <v>-0.12033697482463213</v>
      </c>
      <c r="X308" s="100">
        <f t="shared" si="869"/>
        <v>-1.0657776619350523E-3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9" t="s">
        <v>80</v>
      </c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1"/>
      <c r="M310" s="2"/>
      <c r="N310" s="379" t="s">
        <v>81</v>
      </c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1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870">+C311+1</f>
        <v>2018</v>
      </c>
      <c r="E311" s="82">
        <f t="shared" ref="E311" si="871">+D311+1</f>
        <v>2019</v>
      </c>
      <c r="F311" s="82">
        <f t="shared" ref="F311" si="872">+E311+1</f>
        <v>2020</v>
      </c>
      <c r="G311" s="82">
        <f t="shared" ref="G311" si="873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874">+P311+1</f>
        <v>2018</v>
      </c>
      <c r="R311" s="82">
        <f t="shared" ref="R311" si="875">+Q311+1</f>
        <v>2019</v>
      </c>
      <c r="S311" s="82">
        <f t="shared" ref="S311" si="876">+R311+1</f>
        <v>2020</v>
      </c>
      <c r="T311" s="82">
        <f t="shared" ref="T311" si="877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878">+SUM(C312)+SUM(B313:B323)</f>
        <v>760.70776999999998</v>
      </c>
      <c r="Q312" s="6">
        <f t="shared" si="878"/>
        <v>734.75900000000001</v>
      </c>
      <c r="R312" s="6">
        <f t="shared" si="878"/>
        <v>740.89</v>
      </c>
      <c r="S312" s="6">
        <f t="shared" si="878"/>
        <v>721.47700000000009</v>
      </c>
      <c r="T312" s="6">
        <f t="shared" si="878"/>
        <v>713.20500000000015</v>
      </c>
      <c r="U312" s="6">
        <f t="shared" si="878"/>
        <v>811.06900000000019</v>
      </c>
      <c r="V312" s="6">
        <f t="shared" si="878"/>
        <v>751.96600000000001</v>
      </c>
      <c r="W312" s="105">
        <f t="shared" si="878"/>
        <v>629.53300000000002</v>
      </c>
      <c r="X312" s="90">
        <f t="shared" si="878"/>
        <v>644.70799999999997</v>
      </c>
      <c r="Y312" s="117">
        <f t="shared" ref="Y312:Y313" si="879">+X312/W312-1</f>
        <v>2.4105170022858058E-2</v>
      </c>
      <c r="Z312" s="113">
        <f t="shared" ref="Z312:Z313" si="880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881">+SUM(C312:C313)+SUM(B314:B323)</f>
        <v>750.12762999999995</v>
      </c>
      <c r="Q313" s="6">
        <f t="shared" si="881"/>
        <v>742.83600000000001</v>
      </c>
      <c r="R313" s="6">
        <f t="shared" si="881"/>
        <v>742.66899999999998</v>
      </c>
      <c r="S313" s="6">
        <f t="shared" si="881"/>
        <v>718.57600000000002</v>
      </c>
      <c r="T313" s="6">
        <f t="shared" si="881"/>
        <v>720.55700000000002</v>
      </c>
      <c r="U313" s="6">
        <f t="shared" si="881"/>
        <v>813.92600000000016</v>
      </c>
      <c r="V313" s="6">
        <f t="shared" si="881"/>
        <v>733.81</v>
      </c>
      <c r="W313" s="105">
        <f t="shared" si="881"/>
        <v>632.3839999999999</v>
      </c>
      <c r="X313" s="90">
        <f t="shared" si="881"/>
        <v>644.39800000000002</v>
      </c>
      <c r="Y313" s="117">
        <f t="shared" si="879"/>
        <v>1.8997950612286374E-2</v>
      </c>
      <c r="Z313" s="113">
        <f t="shared" si="880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882">+SUM(C312:C314)+SUM(B315:B323)</f>
        <v>748.38303999999994</v>
      </c>
      <c r="Q314" s="6">
        <f t="shared" si="882"/>
        <v>741.47800000000007</v>
      </c>
      <c r="R314" s="6">
        <f t="shared" si="882"/>
        <v>738.83900000000006</v>
      </c>
      <c r="S314" s="6">
        <f t="shared" si="882"/>
        <v>714.548</v>
      </c>
      <c r="T314" s="6">
        <f t="shared" si="882"/>
        <v>736.88700000000017</v>
      </c>
      <c r="U314" s="6">
        <f t="shared" si="882"/>
        <v>811.7650000000001</v>
      </c>
      <c r="V314" s="6">
        <f t="shared" si="882"/>
        <v>726.98200000000008</v>
      </c>
      <c r="W314" s="105">
        <f t="shared" si="882"/>
        <v>620.54999999999995</v>
      </c>
      <c r="X314" s="90">
        <f t="shared" ref="X314" si="883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884">+SUM(C312:C315)+SUM(B316:B323)</f>
        <v>738.77712999999994</v>
      </c>
      <c r="Q315" s="6">
        <f t="shared" si="884"/>
        <v>739.64199999999994</v>
      </c>
      <c r="R315" s="6">
        <f t="shared" si="884"/>
        <v>745.62100000000009</v>
      </c>
      <c r="S315" s="6">
        <f t="shared" si="884"/>
        <v>711.83999999999992</v>
      </c>
      <c r="T315" s="6">
        <f t="shared" si="884"/>
        <v>742.36300000000006</v>
      </c>
      <c r="U315" s="6">
        <f t="shared" si="884"/>
        <v>811.27199999999993</v>
      </c>
      <c r="V315" s="6">
        <f t="shared" si="884"/>
        <v>709.94200000000001</v>
      </c>
      <c r="W315" s="105">
        <f t="shared" si="884"/>
        <v>630.60799999999995</v>
      </c>
      <c r="X315" s="90">
        <f t="shared" ref="X315" si="885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886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887">+SUM(C312:C316)+SUM(B317:B323)</f>
        <v>736.2360000000001</v>
      </c>
      <c r="Q316" s="6">
        <f t="shared" si="887"/>
        <v>742.27199999999993</v>
      </c>
      <c r="R316" s="6">
        <f t="shared" si="887"/>
        <v>748.38800000000003</v>
      </c>
      <c r="S316" s="6">
        <f t="shared" si="887"/>
        <v>700.26199999999994</v>
      </c>
      <c r="T316" s="6">
        <f t="shared" si="887"/>
        <v>754.94499999999994</v>
      </c>
      <c r="U316" s="6">
        <f t="shared" si="887"/>
        <v>811.42799999999988</v>
      </c>
      <c r="V316" s="6">
        <f t="shared" si="887"/>
        <v>698.37900000000013</v>
      </c>
      <c r="W316" s="105">
        <f t="shared" si="887"/>
        <v>630.37799999999993</v>
      </c>
      <c r="X316" s="90">
        <f t="shared" ref="X316" si="888">+SUM(K312:K316)+SUM(J317:J323)</f>
        <v>634.54000000000008</v>
      </c>
      <c r="Y316" s="117">
        <f t="shared" ref="Y316:Y318" si="889">+X316/W316-1</f>
        <v>6.6023877736851588E-3</v>
      </c>
      <c r="Z316" s="113">
        <f t="shared" ref="Z316:Z318" si="890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886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891">+SUM(C312:C317)+SUM(B318:B323)</f>
        <v>744.16021999999998</v>
      </c>
      <c r="Q317" s="6">
        <f t="shared" si="891"/>
        <v>736.07799999999997</v>
      </c>
      <c r="R317" s="6">
        <f t="shared" si="891"/>
        <v>744.99600000000009</v>
      </c>
      <c r="S317" s="6">
        <f t="shared" si="891"/>
        <v>700.31700000000001</v>
      </c>
      <c r="T317" s="6">
        <f t="shared" si="891"/>
        <v>776.19499999999994</v>
      </c>
      <c r="U317" s="6">
        <f t="shared" si="891"/>
        <v>812.46699999999998</v>
      </c>
      <c r="V317" s="6">
        <f t="shared" si="891"/>
        <v>675.72800000000007</v>
      </c>
      <c r="W317" s="105">
        <f t="shared" si="891"/>
        <v>619.51400000000001</v>
      </c>
      <c r="X317" s="90">
        <f t="shared" ref="X317" si="892">+SUM(K312:K317)+SUM(J318:J323)</f>
        <v>640.32200000000012</v>
      </c>
      <c r="Y317" s="117">
        <f t="shared" si="889"/>
        <v>3.3587618681740983E-2</v>
      </c>
      <c r="Z317" s="113">
        <f t="shared" si="890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893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894">+SUM(C312:C318)+SUM(B319:B323)</f>
        <v>750.78500000000008</v>
      </c>
      <c r="Q318" s="6">
        <f t="shared" si="894"/>
        <v>745.60300000000007</v>
      </c>
      <c r="R318" s="6">
        <f t="shared" si="894"/>
        <v>738.31600000000003</v>
      </c>
      <c r="S318" s="6">
        <f t="shared" si="894"/>
        <v>704.63599999999997</v>
      </c>
      <c r="T318" s="6">
        <f t="shared" si="894"/>
        <v>781.39200000000005</v>
      </c>
      <c r="U318" s="6">
        <f t="shared" si="894"/>
        <v>796.13300000000004</v>
      </c>
      <c r="V318" s="6">
        <f t="shared" si="894"/>
        <v>670.71</v>
      </c>
      <c r="W318" s="105">
        <f t="shared" si="894"/>
        <v>639.11599999999999</v>
      </c>
      <c r="X318" s="90">
        <f t="shared" ref="X318" si="895">+SUM(K312:K318)+SUM(J319:J323)</f>
        <v>624.63300000000004</v>
      </c>
      <c r="Y318" s="117">
        <f t="shared" si="889"/>
        <v>-2.2660987989660653E-2</v>
      </c>
      <c r="Z318" s="113">
        <f t="shared" si="890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/>
      <c r="L319" s="91"/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896">+SUM(C312:C319)+SUM(B320:B323)</f>
        <v>748.4197200000001</v>
      </c>
      <c r="Q319" s="6">
        <f t="shared" si="896"/>
        <v>743.74</v>
      </c>
      <c r="R319" s="6">
        <f t="shared" si="896"/>
        <v>734.3</v>
      </c>
      <c r="S319" s="6">
        <f t="shared" si="896"/>
        <v>694.82600000000002</v>
      </c>
      <c r="T319" s="6">
        <f t="shared" si="896"/>
        <v>788.30899999999997</v>
      </c>
      <c r="U319" s="6">
        <f t="shared" si="896"/>
        <v>801.08699999999999</v>
      </c>
      <c r="V319" s="6">
        <f t="shared" si="896"/>
        <v>657.49799999999993</v>
      </c>
      <c r="W319" s="105">
        <f t="shared" si="896"/>
        <v>640.89400000000001</v>
      </c>
      <c r="X319" s="105"/>
      <c r="Y319" s="117"/>
      <c r="Z319" s="113"/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/>
      <c r="L320" s="91"/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897">+SUM(C312:C320)+SUM(B321:B323)</f>
        <v>740.46415999999999</v>
      </c>
      <c r="Q320" s="6">
        <f t="shared" si="897"/>
        <v>738.50699999999995</v>
      </c>
      <c r="R320" s="6">
        <f t="shared" si="897"/>
        <v>732.654</v>
      </c>
      <c r="S320" s="6">
        <f t="shared" si="897"/>
        <v>707.03100000000006</v>
      </c>
      <c r="T320" s="6">
        <f t="shared" si="897"/>
        <v>799.14699999999993</v>
      </c>
      <c r="U320" s="6">
        <f t="shared" si="897"/>
        <v>791.78800000000001</v>
      </c>
      <c r="V320" s="6">
        <f t="shared" si="897"/>
        <v>647.53099999999995</v>
      </c>
      <c r="W320" s="105">
        <f t="shared" si="897"/>
        <v>640.86299999999994</v>
      </c>
      <c r="X320" s="105"/>
      <c r="Y320" s="117"/>
      <c r="Z320" s="113"/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/>
      <c r="L321" s="91"/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898">+SUM(C312:C321)+SUM(B322:B323)</f>
        <v>742.71500000000003</v>
      </c>
      <c r="Q321" s="6">
        <f t="shared" si="898"/>
        <v>736.58399999999995</v>
      </c>
      <c r="R321" s="6">
        <f t="shared" si="898"/>
        <v>730.90500000000009</v>
      </c>
      <c r="S321" s="6">
        <f t="shared" si="898"/>
        <v>708.06000000000006</v>
      </c>
      <c r="T321" s="6">
        <f t="shared" si="898"/>
        <v>799.57899999999995</v>
      </c>
      <c r="U321" s="6">
        <f t="shared" si="898"/>
        <v>783.18900000000008</v>
      </c>
      <c r="V321" s="6">
        <f t="shared" si="898"/>
        <v>642.97900000000004</v>
      </c>
      <c r="W321" s="105">
        <f t="shared" si="898"/>
        <v>645.86799999999994</v>
      </c>
      <c r="X321" s="90"/>
      <c r="Y321" s="117"/>
      <c r="Z321" s="113"/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899">+SUM(C312:C322)+SUM(B323)</f>
        <v>743.65599999999995</v>
      </c>
      <c r="Q322" s="6">
        <f t="shared" si="899"/>
        <v>738.66899999999998</v>
      </c>
      <c r="R322" s="6">
        <f t="shared" si="899"/>
        <v>726.17300000000012</v>
      </c>
      <c r="S322" s="6">
        <f t="shared" si="899"/>
        <v>712.32600000000014</v>
      </c>
      <c r="T322" s="6">
        <f t="shared" si="899"/>
        <v>810.16</v>
      </c>
      <c r="U322" s="6">
        <f t="shared" si="899"/>
        <v>762.303</v>
      </c>
      <c r="V322" s="6">
        <f t="shared" si="899"/>
        <v>639.89099999999996</v>
      </c>
      <c r="W322" s="105">
        <f t="shared" si="899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900">+SUM(C312:C323)</f>
        <v>739.03800000000001</v>
      </c>
      <c r="Q323" s="6">
        <f t="shared" si="900"/>
        <v>737.41199999999992</v>
      </c>
      <c r="R323" s="6">
        <f t="shared" si="900"/>
        <v>722.67100000000016</v>
      </c>
      <c r="S323" s="6">
        <f t="shared" si="900"/>
        <v>713.45800000000008</v>
      </c>
      <c r="T323" s="6">
        <f t="shared" si="900"/>
        <v>818.78899999999999</v>
      </c>
      <c r="U323" s="6">
        <f t="shared" si="900"/>
        <v>750.93299999999999</v>
      </c>
      <c r="V323" s="6">
        <f t="shared" si="900"/>
        <v>637.279</v>
      </c>
      <c r="W323" s="105">
        <f t="shared" si="900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901">SUM(C312:C323)</f>
        <v>739.03800000000001</v>
      </c>
      <c r="D324" s="219">
        <f t="shared" si="901"/>
        <v>737.41199999999992</v>
      </c>
      <c r="E324" s="219">
        <f t="shared" si="901"/>
        <v>722.67100000000016</v>
      </c>
      <c r="F324" s="219">
        <f t="shared" si="901"/>
        <v>713.45800000000008</v>
      </c>
      <c r="G324" s="219">
        <f t="shared" ref="G324:H324" si="902">SUM(G312:G323)</f>
        <v>818.78899999999999</v>
      </c>
      <c r="H324" s="219">
        <f t="shared" si="902"/>
        <v>750.93299999999999</v>
      </c>
      <c r="I324" s="219">
        <f t="shared" ref="I324" si="903">SUM(I312:I323)</f>
        <v>637.279</v>
      </c>
      <c r="J324" s="219">
        <f t="shared" ref="J324" si="904">SUM(J312:J323)</f>
        <v>649.93499999999995</v>
      </c>
      <c r="K324" s="218"/>
      <c r="L324" s="94"/>
      <c r="M324" s="3"/>
      <c r="N324" s="92" t="s">
        <v>14</v>
      </c>
      <c r="O324" s="106">
        <f t="shared" ref="O324" si="905">+AVERAGE(O312:O323)</f>
        <v>736.69074825115842</v>
      </c>
      <c r="P324" s="83">
        <f>+AVERAGE(P312:P323)</f>
        <v>745.28913916666659</v>
      </c>
      <c r="Q324" s="83">
        <f t="shared" ref="Q324:W324" si="906">+AVERAGE(Q312:Q323)</f>
        <v>739.79833333333329</v>
      </c>
      <c r="R324" s="83">
        <f t="shared" si="906"/>
        <v>737.20183333333341</v>
      </c>
      <c r="S324" s="83">
        <f t="shared" si="906"/>
        <v>708.94641666666666</v>
      </c>
      <c r="T324" s="83">
        <f t="shared" si="906"/>
        <v>770.12733333333335</v>
      </c>
      <c r="U324" s="83">
        <f t="shared" si="906"/>
        <v>796.44666666666672</v>
      </c>
      <c r="V324" s="83">
        <f t="shared" si="906"/>
        <v>682.72458333333327</v>
      </c>
      <c r="W324" s="107">
        <f t="shared" si="906"/>
        <v>635.81966666666676</v>
      </c>
      <c r="X324" s="93">
        <f t="shared" ref="X324" si="907">+AVERAGE(X312:X323)</f>
        <v>638.8825714285714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08">+D324/C324-1</f>
        <v>-2.2001575020500486E-3</v>
      </c>
      <c r="E325" s="85">
        <f t="shared" ref="E325" si="909">+E324/D324-1</f>
        <v>-1.9990181879328994E-2</v>
      </c>
      <c r="F325" s="85">
        <f t="shared" ref="F325:J325" si="910">+F324/E324-1</f>
        <v>-1.2748539791966329E-2</v>
      </c>
      <c r="G325" s="85">
        <f t="shared" si="910"/>
        <v>0.14763447883407288</v>
      </c>
      <c r="H325" s="85">
        <f t="shared" si="910"/>
        <v>-8.2873609684546268E-2</v>
      </c>
      <c r="I325" s="85">
        <f t="shared" si="910"/>
        <v>-0.1513503867855055</v>
      </c>
      <c r="J325" s="85">
        <f t="shared" si="910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911">+Q324/P324-1</f>
        <v>-7.3673498576307672E-3</v>
      </c>
      <c r="R325" s="85">
        <f t="shared" ref="R325" si="912">+R324/Q324-1</f>
        <v>-3.5097402670546396E-3</v>
      </c>
      <c r="S325" s="85">
        <f t="shared" ref="S325" si="913">+S324/R324-1</f>
        <v>-3.8327925120461237E-2</v>
      </c>
      <c r="T325" s="85">
        <f t="shared" ref="T325:X325" si="914">+T324/S324-1</f>
        <v>8.6298365050391013E-2</v>
      </c>
      <c r="U325" s="85">
        <f t="shared" si="914"/>
        <v>3.4175300880979975E-2</v>
      </c>
      <c r="V325" s="85">
        <f t="shared" si="914"/>
        <v>-0.14278681560598339</v>
      </c>
      <c r="W325" s="111">
        <f t="shared" si="914"/>
        <v>-6.8702545377314572E-2</v>
      </c>
      <c r="X325" s="100">
        <f t="shared" si="914"/>
        <v>4.8172538889243999E-3</v>
      </c>
      <c r="Y325" s="99"/>
      <c r="Z325" s="115"/>
    </row>
    <row r="326" spans="1:26" ht="15.75" thickBot="1" x14ac:dyDescent="0.3"/>
    <row r="327" spans="1:26" ht="15.75" thickBot="1" x14ac:dyDescent="0.3">
      <c r="A327" s="373" t="s">
        <v>82</v>
      </c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5"/>
      <c r="M327" s="2"/>
      <c r="N327" s="373" t="s">
        <v>83</v>
      </c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5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915">+C328+1</f>
        <v>2018</v>
      </c>
      <c r="E328" s="129">
        <f t="shared" ref="E328" si="916">+D328+1</f>
        <v>2019</v>
      </c>
      <c r="F328" s="129">
        <f t="shared" ref="F328" si="917">+E328+1</f>
        <v>2020</v>
      </c>
      <c r="G328" s="129">
        <f t="shared" ref="G328" si="918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919">+P328+1</f>
        <v>2018</v>
      </c>
      <c r="R328" s="129">
        <f t="shared" ref="R328" si="920">+Q328+1</f>
        <v>2019</v>
      </c>
      <c r="S328" s="129">
        <f t="shared" ref="S328" si="921">+R328+1</f>
        <v>2020</v>
      </c>
      <c r="T328" s="129">
        <f t="shared" ref="T328" si="922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923">+C168/C7</f>
        <v>3.395474353717495</v>
      </c>
      <c r="D329" s="158">
        <f t="shared" si="923"/>
        <v>4.2788708517414982</v>
      </c>
      <c r="E329" s="158">
        <f t="shared" si="923"/>
        <v>3.8477282468924123</v>
      </c>
      <c r="F329" s="158">
        <f t="shared" si="923"/>
        <v>3.2031164270821897</v>
      </c>
      <c r="G329" s="158">
        <f t="shared" si="923"/>
        <v>3.1294278388772687</v>
      </c>
      <c r="H329" s="158">
        <f t="shared" si="923"/>
        <v>3.2596144542043417</v>
      </c>
      <c r="I329" s="158">
        <f t="shared" ref="I329:J329" si="924">+I168/I7</f>
        <v>3.4304275874407373</v>
      </c>
      <c r="J329" s="180">
        <f t="shared" si="924"/>
        <v>3.0899608865710557</v>
      </c>
      <c r="K329" s="181">
        <f t="shared" ref="K329" si="925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926">+P168/P7</f>
        <v>3.7063015092851055</v>
      </c>
      <c r="Q329" s="158">
        <f t="shared" si="926"/>
        <v>4.0952189119092939</v>
      </c>
      <c r="R329" s="158">
        <f t="shared" si="926"/>
        <v>4.0794067196369284</v>
      </c>
      <c r="S329" s="158">
        <f t="shared" si="926"/>
        <v>3.7190160130323195</v>
      </c>
      <c r="T329" s="158">
        <f t="shared" si="926"/>
        <v>3.0660680731095704</v>
      </c>
      <c r="U329" s="158">
        <f t="shared" si="926"/>
        <v>3.2885702972664039</v>
      </c>
      <c r="V329" s="158">
        <f t="shared" ref="V329:W329" si="927">+V168/V7</f>
        <v>3.3178620707573825</v>
      </c>
      <c r="W329" s="180">
        <f t="shared" si="927"/>
        <v>3.37903832763832</v>
      </c>
      <c r="X329" s="181">
        <f t="shared" ref="X329" si="928">+X168/X7</f>
        <v>3.3959234445687319</v>
      </c>
      <c r="Y329" s="147">
        <f t="shared" ref="Y329:Y330" si="929">+X329/W329-1</f>
        <v>4.997018468924308E-3</v>
      </c>
      <c r="Z329" s="127">
        <f t="shared" ref="Z329:Z330" si="930">+POWER(X329/S329,0.2)-1</f>
        <v>-1.8012479601047571E-2</v>
      </c>
    </row>
    <row r="330" spans="1:26" x14ac:dyDescent="0.25">
      <c r="A330" s="133" t="s">
        <v>11</v>
      </c>
      <c r="B330" s="158">
        <f t="shared" ref="B330:G330" si="931">+B169/B8</f>
        <v>3.3681752749943428</v>
      </c>
      <c r="C330" s="158">
        <f t="shared" si="931"/>
        <v>4.0054133074729696</v>
      </c>
      <c r="D330" s="158">
        <f t="shared" si="931"/>
        <v>4.0945125580288062</v>
      </c>
      <c r="E330" s="158">
        <f t="shared" si="931"/>
        <v>3.8340604941897052</v>
      </c>
      <c r="F330" s="158">
        <f t="shared" si="931"/>
        <v>3.308054366721223</v>
      </c>
      <c r="G330" s="158">
        <f t="shared" si="931"/>
        <v>3.2166597169417939</v>
      </c>
      <c r="H330" s="158">
        <f t="shared" si="923"/>
        <v>3.3384828995036622</v>
      </c>
      <c r="I330" s="158">
        <f t="shared" ref="I330:J340" si="932">+I169/I8</f>
        <v>3.1369230769230771</v>
      </c>
      <c r="J330" s="180">
        <f t="shared" si="932"/>
        <v>3.3904405724415239</v>
      </c>
      <c r="K330" s="181">
        <f t="shared" ref="K330:K335" si="933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934">+O169/O8</f>
        <v>3.6580239847547351</v>
      </c>
      <c r="P330" s="158">
        <f t="shared" si="934"/>
        <v>3.7500240584644566</v>
      </c>
      <c r="Q330" s="158">
        <f t="shared" si="934"/>
        <v>4.1004415949089106</v>
      </c>
      <c r="R330" s="158">
        <f t="shared" si="934"/>
        <v>4.0589051914044649</v>
      </c>
      <c r="S330" s="158">
        <f t="shared" si="934"/>
        <v>3.6789548185539824</v>
      </c>
      <c r="T330" s="158">
        <f t="shared" si="934"/>
        <v>3.0625530304019213</v>
      </c>
      <c r="U330" s="158">
        <f t="shared" si="934"/>
        <v>3.2979225687542066</v>
      </c>
      <c r="V330" s="158">
        <f t="shared" ref="V330:X340" si="935">+V169/V8</f>
        <v>3.3046523107402002</v>
      </c>
      <c r="W330" s="180">
        <f t="shared" si="935"/>
        <v>3.397599834704232</v>
      </c>
      <c r="X330" s="181">
        <f t="shared" ref="X330" si="936">+X169/X8</f>
        <v>3.3955991231074445</v>
      </c>
      <c r="Y330" s="147">
        <f t="shared" si="929"/>
        <v>-5.8886028200011431E-4</v>
      </c>
      <c r="Z330" s="127">
        <f t="shared" si="930"/>
        <v>-1.5901903664682582E-2</v>
      </c>
    </row>
    <row r="331" spans="1:26" x14ac:dyDescent="0.25">
      <c r="A331" s="133" t="s">
        <v>0</v>
      </c>
      <c r="B331" s="158">
        <f t="shared" ref="B331:G331" si="937">+B170/B9</f>
        <v>3.554083016374324</v>
      </c>
      <c r="C331" s="158">
        <f t="shared" si="937"/>
        <v>4.1283646844351205</v>
      </c>
      <c r="D331" s="158">
        <f t="shared" si="937"/>
        <v>4.1994742633573789</v>
      </c>
      <c r="E331" s="158">
        <f t="shared" si="937"/>
        <v>3.7124222056260887</v>
      </c>
      <c r="F331" s="158">
        <f t="shared" si="937"/>
        <v>3.5403366811694386</v>
      </c>
      <c r="G331" s="158">
        <f t="shared" si="937"/>
        <v>3.1666181203333355</v>
      </c>
      <c r="H331" s="158">
        <f t="shared" si="923"/>
        <v>3.1681044933063824</v>
      </c>
      <c r="I331" s="158">
        <f t="shared" si="932"/>
        <v>3.3163108808290156</v>
      </c>
      <c r="J331" s="180">
        <f t="shared" si="932"/>
        <v>3.4071385241570948</v>
      </c>
      <c r="K331" s="181">
        <f t="shared" si="933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938">+O170/O9</f>
        <v>3.6505348775667037</v>
      </c>
      <c r="P331" s="158">
        <f t="shared" si="938"/>
        <v>3.7975459595144447</v>
      </c>
      <c r="Q331" s="158">
        <f t="shared" si="938"/>
        <v>4.1063723277945066</v>
      </c>
      <c r="R331" s="158">
        <f t="shared" si="938"/>
        <v>4.01858736984817</v>
      </c>
      <c r="S331" s="158">
        <f t="shared" si="938"/>
        <v>3.6656847765920322</v>
      </c>
      <c r="T331" s="158">
        <f t="shared" si="938"/>
        <v>3.0420056308974059</v>
      </c>
      <c r="U331" s="158">
        <f t="shared" si="938"/>
        <v>3.2977623329245747</v>
      </c>
      <c r="V331" s="158">
        <f t="shared" si="935"/>
        <v>3.3195418342428926</v>
      </c>
      <c r="W331" s="180">
        <f t="shared" si="935"/>
        <v>3.4063971953922438</v>
      </c>
      <c r="X331" s="181">
        <f t="shared" si="935"/>
        <v>3.3898551253744094</v>
      </c>
      <c r="Y331" s="147">
        <f t="shared" ref="Y331" si="939">+X331/W331-1</f>
        <v>-4.8561776765817521E-3</v>
      </c>
      <c r="Z331" s="127">
        <f t="shared" ref="Z331" si="940">+POWER(X331/S331,0.2)-1</f>
        <v>-1.5523838581485316E-2</v>
      </c>
    </row>
    <row r="332" spans="1:26" x14ac:dyDescent="0.25">
      <c r="A332" s="133" t="s">
        <v>1</v>
      </c>
      <c r="B332" s="158">
        <f t="shared" ref="B332:H332" si="941">+B171/B10</f>
        <v>3.9495120204242262</v>
      </c>
      <c r="C332" s="158">
        <f t="shared" si="941"/>
        <v>3.9893769891534587</v>
      </c>
      <c r="D332" s="158">
        <f t="shared" si="941"/>
        <v>4.0892740353172012</v>
      </c>
      <c r="E332" s="158">
        <f t="shared" si="941"/>
        <v>3.9381509555223708</v>
      </c>
      <c r="F332" s="158">
        <f t="shared" si="941"/>
        <v>3.302994511220732</v>
      </c>
      <c r="G332" s="158">
        <f t="shared" si="941"/>
        <v>3.279501770067808</v>
      </c>
      <c r="H332" s="158">
        <f t="shared" si="941"/>
        <v>3.3369089248023185</v>
      </c>
      <c r="I332" s="158">
        <f t="shared" si="932"/>
        <v>3.2571405776288489</v>
      </c>
      <c r="J332" s="180">
        <f t="shared" si="932"/>
        <v>3.2840290682240516</v>
      </c>
      <c r="K332" s="181">
        <f t="shared" si="933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942">+O171/O10</f>
        <v>3.6814661723427298</v>
      </c>
      <c r="P332" s="158">
        <f t="shared" si="942"/>
        <v>3.7992975170859209</v>
      </c>
      <c r="Q332" s="158">
        <f t="shared" si="942"/>
        <v>4.1143958255988604</v>
      </c>
      <c r="R332" s="158">
        <f t="shared" si="942"/>
        <v>4.0062888903651546</v>
      </c>
      <c r="S332" s="158">
        <f t="shared" si="942"/>
        <v>3.6109722438596772</v>
      </c>
      <c r="T332" s="158">
        <f t="shared" si="942"/>
        <v>3.0425565109297663</v>
      </c>
      <c r="U332" s="158">
        <f t="shared" si="942"/>
        <v>3.3023277081690585</v>
      </c>
      <c r="V332" s="158">
        <f t="shared" si="935"/>
        <v>3.313461113011813</v>
      </c>
      <c r="W332" s="180">
        <f t="shared" si="935"/>
        <v>3.4065702056059166</v>
      </c>
      <c r="X332" s="181">
        <f t="shared" si="935"/>
        <v>3.4050090047442962</v>
      </c>
      <c r="Y332" s="147">
        <f t="shared" ref="Y332" si="943">+X332/W332-1</f>
        <v>-4.5829111610595774E-4</v>
      </c>
      <c r="Z332" s="127">
        <f t="shared" ref="Z332" si="944">+POWER(X332/S332,0.2)-1</f>
        <v>-1.1677180591326497E-2</v>
      </c>
    </row>
    <row r="333" spans="1:26" x14ac:dyDescent="0.25">
      <c r="A333" s="133" t="s">
        <v>2</v>
      </c>
      <c r="B333" s="158">
        <f t="shared" ref="B333:H333" si="945">+B172/B11</f>
        <v>3.7905568173364723</v>
      </c>
      <c r="C333" s="158">
        <f t="shared" si="945"/>
        <v>4.1775635909714124</v>
      </c>
      <c r="D333" s="158">
        <f t="shared" si="945"/>
        <v>4.3131753037344485</v>
      </c>
      <c r="E333" s="158">
        <f t="shared" si="945"/>
        <v>4.0619352718909152</v>
      </c>
      <c r="F333" s="158">
        <f t="shared" si="945"/>
        <v>3.0640844359155643</v>
      </c>
      <c r="G333" s="158">
        <f t="shared" si="945"/>
        <v>3.2445838657344264</v>
      </c>
      <c r="H333" s="158">
        <f t="shared" si="945"/>
        <v>3.6152843089693305</v>
      </c>
      <c r="I333" s="158">
        <f t="shared" si="932"/>
        <v>3.3816871884303055</v>
      </c>
      <c r="J333" s="180">
        <f t="shared" ref="J333" si="946">+J172/J11</f>
        <v>3.4704667955795947</v>
      </c>
      <c r="K333" s="181">
        <f t="shared" si="933"/>
        <v>3.5752822563846181</v>
      </c>
      <c r="L333" s="127">
        <f t="shared" ref="L333:L334" si="947">+K333/J333-1</f>
        <v>3.0202121783308611E-2</v>
      </c>
      <c r="M333" s="2"/>
      <c r="N333" s="133" t="s">
        <v>2</v>
      </c>
      <c r="O333" s="158">
        <f t="shared" ref="O333:U333" si="948">+O172/O11</f>
        <v>3.7071758876820153</v>
      </c>
      <c r="P333" s="158">
        <f t="shared" si="948"/>
        <v>3.8299277902598878</v>
      </c>
      <c r="Q333" s="158">
        <f t="shared" si="948"/>
        <v>4.1264613529539957</v>
      </c>
      <c r="R333" s="158">
        <f t="shared" si="948"/>
        <v>3.9855735512387658</v>
      </c>
      <c r="S333" s="158">
        <f t="shared" si="948"/>
        <v>3.5229447603480555</v>
      </c>
      <c r="T333" s="158">
        <f t="shared" si="948"/>
        <v>3.0584473740107749</v>
      </c>
      <c r="U333" s="158">
        <f t="shared" si="948"/>
        <v>3.3317450081273514</v>
      </c>
      <c r="V333" s="158">
        <f t="shared" si="935"/>
        <v>3.2919319004829921</v>
      </c>
      <c r="W333" s="180">
        <f t="shared" ref="W333:X333" si="949">+W172/W11</f>
        <v>3.414369812660639</v>
      </c>
      <c r="X333" s="181">
        <f t="shared" si="949"/>
        <v>3.4125966829287302</v>
      </c>
      <c r="Y333" s="147">
        <f t="shared" ref="Y333:Y334" si="950">+X333/W333-1</f>
        <v>-5.1931390833348523E-4</v>
      </c>
      <c r="Z333" s="127">
        <f t="shared" ref="Z333:Z334" si="951">+POWER(X333/S333,0.2)-1</f>
        <v>-6.3445333944300852E-3</v>
      </c>
    </row>
    <row r="334" spans="1:26" x14ac:dyDescent="0.25">
      <c r="A334" s="133" t="s">
        <v>3</v>
      </c>
      <c r="B334" s="158">
        <f t="shared" ref="B334:H340" si="952">+B173/B12</f>
        <v>3.8625505650946765</v>
      </c>
      <c r="C334" s="158">
        <f t="shared" si="952"/>
        <v>3.8684108150165337</v>
      </c>
      <c r="D334" s="158">
        <f t="shared" si="952"/>
        <v>4.1876417485658379</v>
      </c>
      <c r="E334" s="158">
        <f t="shared" si="952"/>
        <v>3.925089242900528</v>
      </c>
      <c r="F334" s="158">
        <f t="shared" si="952"/>
        <v>3.0281579361333959</v>
      </c>
      <c r="G334" s="158">
        <f t="shared" si="952"/>
        <v>3.3576611923197111</v>
      </c>
      <c r="H334" s="158">
        <f t="shared" si="952"/>
        <v>3.2679405203481249</v>
      </c>
      <c r="I334" s="158">
        <f t="shared" si="932"/>
        <v>3.6405231579401733</v>
      </c>
      <c r="J334" s="180">
        <f t="shared" ref="J334:J340" si="953">+J173/J12</f>
        <v>3.512615262770832</v>
      </c>
      <c r="K334" s="181">
        <f t="shared" si="933"/>
        <v>3.6349488416242646</v>
      </c>
      <c r="L334" s="127">
        <f t="shared" si="947"/>
        <v>3.4826922307720443E-2</v>
      </c>
      <c r="M334" s="2"/>
      <c r="N334" s="133" t="s">
        <v>3</v>
      </c>
      <c r="O334" s="158">
        <f t="shared" ref="O334:U334" si="954">+O173/O12</f>
        <v>3.714441470532706</v>
      </c>
      <c r="P334" s="158">
        <f t="shared" si="954"/>
        <v>3.8307107485010015</v>
      </c>
      <c r="Q334" s="158">
        <f t="shared" si="954"/>
        <v>4.1539262141116176</v>
      </c>
      <c r="R334" s="158">
        <f t="shared" si="954"/>
        <v>3.9661837044768911</v>
      </c>
      <c r="S334" s="158">
        <f t="shared" si="954"/>
        <v>3.4514646659010264</v>
      </c>
      <c r="T334" s="158">
        <f t="shared" si="954"/>
        <v>3.0868396641533673</v>
      </c>
      <c r="U334" s="158">
        <f t="shared" si="954"/>
        <v>3.3235296184974015</v>
      </c>
      <c r="V334" s="158">
        <f t="shared" si="935"/>
        <v>3.3189477297235639</v>
      </c>
      <c r="W334" s="180">
        <f t="shared" ref="W334:X340" si="955">+W173/W12</f>
        <v>3.4028597600299042</v>
      </c>
      <c r="X334" s="181">
        <f t="shared" si="955"/>
        <v>3.4230470695351398</v>
      </c>
      <c r="Y334" s="147">
        <f t="shared" si="950"/>
        <v>5.9324541499936601E-3</v>
      </c>
      <c r="Z334" s="127">
        <f t="shared" si="951"/>
        <v>-1.6521479742300782E-3</v>
      </c>
    </row>
    <row r="335" spans="1:26" x14ac:dyDescent="0.25">
      <c r="A335" s="133" t="s">
        <v>4</v>
      </c>
      <c r="B335" s="158">
        <f t="shared" ref="B335:F335" si="956">+B174/B13</f>
        <v>3.866781177880549</v>
      </c>
      <c r="C335" s="158">
        <f t="shared" si="956"/>
        <v>4.1061840692312552</v>
      </c>
      <c r="D335" s="158">
        <f t="shared" si="956"/>
        <v>4.0719344185586124</v>
      </c>
      <c r="E335" s="158">
        <f t="shared" si="956"/>
        <v>3.8305913079609422</v>
      </c>
      <c r="F335" s="158">
        <f t="shared" si="956"/>
        <v>2.9325160787894249</v>
      </c>
      <c r="G335" s="158">
        <f t="shared" si="952"/>
        <v>3.5457108813581897</v>
      </c>
      <c r="H335" s="158">
        <f t="shared" ref="H335" si="957">+H174/H13</f>
        <v>3.4777905377731111</v>
      </c>
      <c r="I335" s="158">
        <f t="shared" si="932"/>
        <v>3.4480865084058463</v>
      </c>
      <c r="J335" s="180">
        <f t="shared" si="953"/>
        <v>3.3298641267289213</v>
      </c>
      <c r="K335" s="181">
        <f t="shared" si="933"/>
        <v>3.6427998931338497</v>
      </c>
      <c r="L335" s="127">
        <f t="shared" ref="L335" si="958">+K335/J335-1</f>
        <v>9.3978539212150825E-2</v>
      </c>
      <c r="M335" s="2"/>
      <c r="N335" s="133" t="s">
        <v>4</v>
      </c>
      <c r="O335" s="158">
        <f t="shared" ref="O335:U335" si="959">+O174/O13</f>
        <v>3.7073515697425026</v>
      </c>
      <c r="P335" s="158">
        <f t="shared" si="959"/>
        <v>3.8489914285354221</v>
      </c>
      <c r="Q335" s="158">
        <f t="shared" si="959"/>
        <v>4.1500559796781928</v>
      </c>
      <c r="R335" s="158">
        <f t="shared" si="959"/>
        <v>3.9453178467775181</v>
      </c>
      <c r="S335" s="158">
        <f t="shared" si="959"/>
        <v>3.3669395665329582</v>
      </c>
      <c r="T335" s="158">
        <f t="shared" si="959"/>
        <v>3.1391142077591696</v>
      </c>
      <c r="U335" s="158">
        <f t="shared" si="959"/>
        <v>3.3148717916427963</v>
      </c>
      <c r="V335" s="158">
        <f t="shared" si="935"/>
        <v>3.3153759348648539</v>
      </c>
      <c r="W335" s="180">
        <f t="shared" si="955"/>
        <v>3.3914063366776026</v>
      </c>
      <c r="X335" s="181">
        <f t="shared" si="955"/>
        <v>3.4526520351642715</v>
      </c>
      <c r="Y335" s="147">
        <f t="shared" ref="Y335" si="960">+X335/W335-1</f>
        <v>1.8059085938569197E-2</v>
      </c>
      <c r="Z335" s="127">
        <f t="shared" ref="Z335" si="961">+POWER(X335/S335,0.2)-1</f>
        <v>5.0403501066793588E-3</v>
      </c>
    </row>
    <row r="336" spans="1:26" x14ac:dyDescent="0.25">
      <c r="A336" s="133" t="s">
        <v>5</v>
      </c>
      <c r="B336" s="158">
        <f t="shared" ref="B336:F336" si="962">+B175/B14</f>
        <v>3.713334942347855</v>
      </c>
      <c r="C336" s="158">
        <f t="shared" si="962"/>
        <v>3.9978944702138772</v>
      </c>
      <c r="D336" s="158">
        <f t="shared" si="962"/>
        <v>4.3333691544427131</v>
      </c>
      <c r="E336" s="158">
        <f t="shared" si="962"/>
        <v>3.7390703381012287</v>
      </c>
      <c r="F336" s="158">
        <f t="shared" si="962"/>
        <v>2.9409690594423061</v>
      </c>
      <c r="G336" s="158">
        <f t="shared" si="952"/>
        <v>3.4508290429751942</v>
      </c>
      <c r="H336" s="158">
        <f t="shared" ref="H336" si="963">+H175/H14</f>
        <v>3.4375227712576129</v>
      </c>
      <c r="I336" s="158">
        <f t="shared" si="932"/>
        <v>3.7692032195434577</v>
      </c>
      <c r="J336" s="180">
        <f t="shared" si="953"/>
        <v>3.4167673277167019</v>
      </c>
      <c r="K336" s="181"/>
      <c r="L336" s="127"/>
      <c r="M336" s="2"/>
      <c r="N336" s="133" t="s">
        <v>5</v>
      </c>
      <c r="O336" s="158">
        <f t="shared" ref="O336:U336" si="964">+O175/O14</f>
        <v>3.704245718703473</v>
      </c>
      <c r="P336" s="158">
        <f t="shared" si="964"/>
        <v>3.8792495695162685</v>
      </c>
      <c r="Q336" s="158">
        <f t="shared" si="964"/>
        <v>4.184042524043071</v>
      </c>
      <c r="R336" s="158">
        <f t="shared" si="964"/>
        <v>3.8888246748050608</v>
      </c>
      <c r="S336" s="158">
        <f t="shared" si="964"/>
        <v>3.2899280497071453</v>
      </c>
      <c r="T336" s="158">
        <f t="shared" si="964"/>
        <v>3.1808414961825089</v>
      </c>
      <c r="U336" s="158">
        <f t="shared" si="964"/>
        <v>3.3145869828003685</v>
      </c>
      <c r="V336" s="158">
        <f t="shared" si="935"/>
        <v>3.3395600701048744</v>
      </c>
      <c r="W336" s="180">
        <f t="shared" si="955"/>
        <v>3.3628280064668572</v>
      </c>
      <c r="X336" s="181"/>
      <c r="Y336" s="147"/>
      <c r="Z336" s="127"/>
    </row>
    <row r="337" spans="1:26" x14ac:dyDescent="0.25">
      <c r="A337" s="133" t="s">
        <v>6</v>
      </c>
      <c r="B337" s="158">
        <f t="shared" ref="B337:F337" si="965">+B176/B15</f>
        <v>4.0068688291768444</v>
      </c>
      <c r="C337" s="158">
        <f t="shared" si="965"/>
        <v>4.1254321798278459</v>
      </c>
      <c r="D337" s="158">
        <f t="shared" si="965"/>
        <v>3.9983559574326275</v>
      </c>
      <c r="E337" s="158">
        <f t="shared" si="965"/>
        <v>3.7074502904835938</v>
      </c>
      <c r="F337" s="158">
        <f t="shared" si="965"/>
        <v>2.9843201905688743</v>
      </c>
      <c r="G337" s="158">
        <f t="shared" si="952"/>
        <v>3.5350391064636075</v>
      </c>
      <c r="H337" s="158">
        <f t="shared" ref="H337" si="966">+H176/H15</f>
        <v>3.1691701918892825</v>
      </c>
      <c r="I337" s="158">
        <f t="shared" si="932"/>
        <v>3.4985177728729351</v>
      </c>
      <c r="J337" s="180">
        <f t="shared" si="953"/>
        <v>3.9040422286448297</v>
      </c>
      <c r="K337" s="181"/>
      <c r="L337" s="127"/>
      <c r="M337" s="2"/>
      <c r="N337" s="133" t="s">
        <v>6</v>
      </c>
      <c r="O337" s="158">
        <f t="shared" ref="O337:U337" si="967">+O176/O15</f>
        <v>3.7197466321240564</v>
      </c>
      <c r="P337" s="158">
        <f t="shared" si="967"/>
        <v>3.8873398152036027</v>
      </c>
      <c r="Q337" s="158">
        <f t="shared" si="967"/>
        <v>4.1745608403600309</v>
      </c>
      <c r="R337" s="158">
        <f t="shared" si="967"/>
        <v>3.8666604547897183</v>
      </c>
      <c r="S337" s="158">
        <f t="shared" si="967"/>
        <v>3.2313486623609715</v>
      </c>
      <c r="T337" s="158">
        <f t="shared" si="967"/>
        <v>3.2281591090602535</v>
      </c>
      <c r="U337" s="158">
        <f t="shared" si="967"/>
        <v>3.2820963386543425</v>
      </c>
      <c r="V337" s="158">
        <f t="shared" si="935"/>
        <v>3.3724649213438207</v>
      </c>
      <c r="W337" s="180">
        <f t="shared" si="955"/>
        <v>3.3935324843007222</v>
      </c>
      <c r="X337" s="181"/>
      <c r="Y337" s="147"/>
      <c r="Z337" s="127"/>
    </row>
    <row r="338" spans="1:26" x14ac:dyDescent="0.25">
      <c r="A338" s="133" t="s">
        <v>7</v>
      </c>
      <c r="B338" s="158">
        <f t="shared" ref="B338:F338" si="968">+B177/B16</f>
        <v>3.6514122435797711</v>
      </c>
      <c r="C338" s="158">
        <f t="shared" si="968"/>
        <v>4.0764850168956581</v>
      </c>
      <c r="D338" s="158">
        <f t="shared" si="968"/>
        <v>3.8745381155969723</v>
      </c>
      <c r="E338" s="158">
        <f t="shared" si="968"/>
        <v>3.6577318923964564</v>
      </c>
      <c r="F338" s="158">
        <f t="shared" si="968"/>
        <v>2.7672437648134554</v>
      </c>
      <c r="G338" s="158">
        <f t="shared" si="952"/>
        <v>3.2159456309589003</v>
      </c>
      <c r="H338" s="158">
        <f t="shared" ref="H338:H340" si="969">+H177/H16</f>
        <v>3.372074407393673</v>
      </c>
      <c r="I338" s="158">
        <f t="shared" si="932"/>
        <v>3.4540221311547334</v>
      </c>
      <c r="J338" s="180">
        <f t="shared" si="953"/>
        <v>3.3861313117453347</v>
      </c>
      <c r="K338" s="181"/>
      <c r="L338" s="127"/>
      <c r="M338" s="2"/>
      <c r="N338" s="133" t="s">
        <v>7</v>
      </c>
      <c r="O338" s="158">
        <f t="shared" ref="O338:U340" si="970">+O177/O16</f>
        <v>3.7095951930424422</v>
      </c>
      <c r="P338" s="158">
        <f t="shared" si="970"/>
        <v>3.9288072430068639</v>
      </c>
      <c r="Q338" s="158">
        <f t="shared" si="970"/>
        <v>4.15412905670778</v>
      </c>
      <c r="R338" s="158">
        <f t="shared" si="970"/>
        <v>3.8451855608758683</v>
      </c>
      <c r="S338" s="158">
        <f t="shared" si="970"/>
        <v>3.1420389076432436</v>
      </c>
      <c r="T338" s="158">
        <f t="shared" si="970"/>
        <v>3.2749903685951161</v>
      </c>
      <c r="U338" s="158">
        <f t="shared" si="970"/>
        <v>3.2946957215361357</v>
      </c>
      <c r="V338" s="158">
        <f t="shared" si="935"/>
        <v>3.3799355329571554</v>
      </c>
      <c r="W338" s="180">
        <f t="shared" si="955"/>
        <v>3.3874756359638165</v>
      </c>
      <c r="X338" s="181"/>
      <c r="Y338" s="147"/>
      <c r="Z338" s="127"/>
    </row>
    <row r="339" spans="1:26" x14ac:dyDescent="0.25">
      <c r="A339" s="133" t="s">
        <v>8</v>
      </c>
      <c r="B339" s="158">
        <f t="shared" ref="B339:F339" si="971">+B178/B17</f>
        <v>3.9528914389249588</v>
      </c>
      <c r="C339" s="158">
        <f t="shared" si="971"/>
        <v>4.2227610733915295</v>
      </c>
      <c r="D339" s="158">
        <f t="shared" si="971"/>
        <v>4.117448364246898</v>
      </c>
      <c r="E339" s="158">
        <f t="shared" si="971"/>
        <v>3.4977542651209856</v>
      </c>
      <c r="F339" s="158">
        <f t="shared" si="971"/>
        <v>3.0237933682789881</v>
      </c>
      <c r="G339" s="158">
        <f t="shared" si="952"/>
        <v>3.1141459908354618</v>
      </c>
      <c r="H339" s="158">
        <f t="shared" si="969"/>
        <v>2.9409718195523604</v>
      </c>
      <c r="I339" s="158">
        <f t="shared" si="932"/>
        <v>3.2620560078733112</v>
      </c>
      <c r="J339" s="180">
        <f t="shared" si="953"/>
        <v>3.2973881892785992</v>
      </c>
      <c r="K339" s="181"/>
      <c r="L339" s="127"/>
      <c r="M339" s="2"/>
      <c r="N339" s="133" t="s">
        <v>8</v>
      </c>
      <c r="O339" s="158">
        <f t="shared" ref="O339:T340" si="972">+O178/O17</f>
        <v>3.722538117550946</v>
      </c>
      <c r="P339" s="158">
        <f t="shared" si="972"/>
        <v>3.9492254747341802</v>
      </c>
      <c r="Q339" s="158">
        <f t="shared" si="972"/>
        <v>4.1455222699496197</v>
      </c>
      <c r="R339" s="158">
        <f t="shared" si="972"/>
        <v>3.7925390184934371</v>
      </c>
      <c r="S339" s="158">
        <f t="shared" si="972"/>
        <v>3.1042108808479378</v>
      </c>
      <c r="T339" s="158">
        <f t="shared" si="972"/>
        <v>3.2803131600397619</v>
      </c>
      <c r="U339" s="158">
        <f t="shared" si="970"/>
        <v>3.2870430456327355</v>
      </c>
      <c r="V339" s="158">
        <f t="shared" si="935"/>
        <v>3.4100941914593821</v>
      </c>
      <c r="W339" s="180">
        <f t="shared" si="955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973">+B179/B18</f>
        <v>3.4677647248799</v>
      </c>
      <c r="C340" s="158">
        <f t="shared" si="973"/>
        <v>4.2286024642975049</v>
      </c>
      <c r="D340" s="158">
        <f t="shared" si="973"/>
        <v>3.8211566979733074</v>
      </c>
      <c r="E340" s="158">
        <f t="shared" si="973"/>
        <v>3.5786638677928178</v>
      </c>
      <c r="F340" s="158">
        <f t="shared" si="973"/>
        <v>3.0895085883758289</v>
      </c>
      <c r="G340" s="158">
        <f t="shared" si="952"/>
        <v>3.0851762149437514</v>
      </c>
      <c r="H340" s="158">
        <f t="shared" si="969"/>
        <v>3.318479709888225</v>
      </c>
      <c r="I340" s="158">
        <f t="shared" si="932"/>
        <v>3.2489489543674783</v>
      </c>
      <c r="J340" s="180">
        <f t="shared" si="953"/>
        <v>3.1777767411484814</v>
      </c>
      <c r="K340" s="181"/>
      <c r="L340" s="127"/>
      <c r="M340" s="2"/>
      <c r="N340" s="133" t="s">
        <v>9</v>
      </c>
      <c r="O340" s="158">
        <f t="shared" ref="O340:S340" si="974">+O179/O18</f>
        <v>3.7159306664555176</v>
      </c>
      <c r="P340" s="158">
        <f t="shared" si="974"/>
        <v>4.0214582309830345</v>
      </c>
      <c r="Q340" s="158">
        <f t="shared" si="974"/>
        <v>4.1109937797367024</v>
      </c>
      <c r="R340" s="158">
        <f t="shared" si="974"/>
        <v>3.7731582399618944</v>
      </c>
      <c r="S340" s="158">
        <f t="shared" si="974"/>
        <v>3.0710545100367579</v>
      </c>
      <c r="T340" s="158">
        <f t="shared" si="972"/>
        <v>3.2786572806722418</v>
      </c>
      <c r="U340" s="158">
        <f t="shared" si="970"/>
        <v>3.3073993635710499</v>
      </c>
      <c r="V340" s="158">
        <f t="shared" si="935"/>
        <v>3.4036254194820001</v>
      </c>
      <c r="W340" s="180">
        <f t="shared" si="955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973"/>
        <v>3.7159306664555176</v>
      </c>
      <c r="C341" s="182">
        <f t="shared" si="973"/>
        <v>4.0214582309830345</v>
      </c>
      <c r="D341" s="182">
        <f t="shared" si="973"/>
        <v>4.1109937797367024</v>
      </c>
      <c r="E341" s="182">
        <f t="shared" si="973"/>
        <v>3.7731582399618944</v>
      </c>
      <c r="F341" s="182">
        <f t="shared" si="973"/>
        <v>3.0710545100367579</v>
      </c>
      <c r="G341" s="182">
        <f t="shared" ref="G341:H341" si="975">+G180/G19</f>
        <v>3.2786572806722418</v>
      </c>
      <c r="H341" s="182">
        <f t="shared" si="975"/>
        <v>3.3073993635710499</v>
      </c>
      <c r="I341" s="182">
        <f t="shared" ref="I341" si="976">+I180/I19</f>
        <v>3.4036254194820001</v>
      </c>
      <c r="J341" s="183">
        <f t="shared" ref="J341" si="977">+J180/J19</f>
        <v>3.3840818447103334</v>
      </c>
      <c r="K341" s="183"/>
      <c r="L341" s="137"/>
      <c r="M341" s="3"/>
      <c r="N341" s="134" t="s">
        <v>14</v>
      </c>
      <c r="O341" s="182">
        <f t="shared" ref="O341:U341" si="978">+O180/O19</f>
        <v>3.6983929355879339</v>
      </c>
      <c r="P341" s="182">
        <f t="shared" si="978"/>
        <v>3.8505199640776109</v>
      </c>
      <c r="Q341" s="182">
        <f t="shared" si="978"/>
        <v>4.1346094862487028</v>
      </c>
      <c r="R341" s="182">
        <f t="shared" si="978"/>
        <v>3.9338129814251559</v>
      </c>
      <c r="S341" s="182">
        <f t="shared" si="978"/>
        <v>3.3917279854049975</v>
      </c>
      <c r="T341" s="182">
        <f t="shared" si="978"/>
        <v>3.146229882058956</v>
      </c>
      <c r="U341" s="182">
        <f t="shared" si="978"/>
        <v>3.30359828104688</v>
      </c>
      <c r="V341" s="182">
        <f t="shared" ref="V341:W341" si="979">+V180/V19</f>
        <v>3.338714398819342</v>
      </c>
      <c r="W341" s="183">
        <f t="shared" si="979"/>
        <v>3.3928096602528104</v>
      </c>
      <c r="X341" s="183">
        <f t="shared" ref="X341" si="980">+X180/X19</f>
        <v>3.4104252674067799</v>
      </c>
      <c r="Y341" s="149">
        <f>+X341/W341-1</f>
        <v>5.1920410862826838E-3</v>
      </c>
      <c r="Z341" s="156">
        <f>+POWER(X341/S341,0.2)-1</f>
        <v>1.1000993933234504E-3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981">+C341/C$485</f>
        <v>1.0661159269849725</v>
      </c>
      <c r="D342" s="138">
        <f t="shared" si="981"/>
        <v>1.0806023430637828</v>
      </c>
      <c r="E342" s="138">
        <f t="shared" si="981"/>
        <v>1.1095911213564091</v>
      </c>
      <c r="F342" s="138">
        <f t="shared" si="981"/>
        <v>1.1169008813297878</v>
      </c>
      <c r="G342" s="138">
        <f t="shared" ref="G342:H342" si="982">+G341/G$485</f>
        <v>1.0718926750253246</v>
      </c>
      <c r="H342" s="138">
        <f t="shared" si="982"/>
        <v>1.0181334590181235</v>
      </c>
      <c r="I342" s="138">
        <f t="shared" ref="I342" si="983">+I341/I$485</f>
        <v>0.96293194133647164</v>
      </c>
      <c r="J342" s="139">
        <f t="shared" ref="J342" si="984">+J341/J$485</f>
        <v>0.95311783775121861</v>
      </c>
      <c r="K342" s="139"/>
      <c r="L342" s="140"/>
      <c r="M342" s="3"/>
      <c r="N342" s="135" t="s">
        <v>15</v>
      </c>
      <c r="O342" s="138">
        <f t="shared" ref="O342:T342" si="985">+O341/O$485</f>
        <v>1.0848220551101444</v>
      </c>
      <c r="P342" s="138">
        <f t="shared" si="985"/>
        <v>1.0649047598204933</v>
      </c>
      <c r="Q342" s="138">
        <f t="shared" si="985"/>
        <v>1.0713883130458528</v>
      </c>
      <c r="R342" s="138">
        <f t="shared" si="985"/>
        <v>1.0957976024862808</v>
      </c>
      <c r="S342" s="138">
        <f t="shared" si="985"/>
        <v>1.1298430718932959</v>
      </c>
      <c r="T342" s="138">
        <f t="shared" si="985"/>
        <v>1.0858211567068288</v>
      </c>
      <c r="U342" s="138">
        <f t="shared" ref="U342:V342" si="986">+U341/U$485</f>
        <v>1.0499121516100167</v>
      </c>
      <c r="V342" s="138">
        <f t="shared" si="986"/>
        <v>0.98063933804590253</v>
      </c>
      <c r="W342" s="139">
        <f t="shared" ref="W342:X342" si="987">+W341/W$485</f>
        <v>0.95722925075967136</v>
      </c>
      <c r="X342" s="139">
        <f t="shared" si="987"/>
        <v>0.9539012193633577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988">+D341/C341-1</f>
        <v>2.2264448269995185E-2</v>
      </c>
      <c r="E343" s="142">
        <f t="shared" ref="E343" si="989">+E341/D341-1</f>
        <v>-8.217855775895766E-2</v>
      </c>
      <c r="F343" s="142">
        <f t="shared" ref="F343:J343" si="990">+F341/E341-1</f>
        <v>-0.18607852766128019</v>
      </c>
      <c r="G343" s="142">
        <f t="shared" si="990"/>
        <v>6.7599832551653138E-2</v>
      </c>
      <c r="H343" s="142">
        <f t="shared" si="990"/>
        <v>8.7664188228038231E-3</v>
      </c>
      <c r="I343" s="142">
        <f t="shared" si="990"/>
        <v>2.9094175009773737E-2</v>
      </c>
      <c r="J343" s="143">
        <f t="shared" si="990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991">+Q341/P341-1</f>
        <v>7.3779521940264825E-2</v>
      </c>
      <c r="R343" s="142">
        <f t="shared" ref="R343" si="992">+R341/Q341-1</f>
        <v>-4.8564805332009242E-2</v>
      </c>
      <c r="S343" s="142">
        <f t="shared" ref="S343" si="993">+S341/R341-1</f>
        <v>-0.13780141521211053</v>
      </c>
      <c r="T343" s="142">
        <f t="shared" ref="T343:X343" si="994">+T341/S341-1</f>
        <v>-7.2381424572503628E-2</v>
      </c>
      <c r="U343" s="142">
        <f t="shared" si="994"/>
        <v>5.0018086690136965E-2</v>
      </c>
      <c r="V343" s="142">
        <f t="shared" si="994"/>
        <v>1.0629657356927114E-2</v>
      </c>
      <c r="W343" s="143">
        <f t="shared" si="994"/>
        <v>1.6202422541022887E-2</v>
      </c>
      <c r="X343" s="143">
        <f t="shared" si="994"/>
        <v>5.1920410862826838E-3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73" t="s">
        <v>84</v>
      </c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5"/>
      <c r="M345" s="2"/>
      <c r="N345" s="373" t="s">
        <v>85</v>
      </c>
      <c r="O345" s="374"/>
      <c r="P345" s="374"/>
      <c r="Q345" s="374"/>
      <c r="R345" s="374"/>
      <c r="S345" s="374"/>
      <c r="T345" s="374"/>
      <c r="U345" s="374"/>
      <c r="V345" s="374"/>
      <c r="W345" s="374"/>
      <c r="X345" s="374"/>
      <c r="Y345" s="374"/>
      <c r="Z345" s="375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995">+C346+1</f>
        <v>2018</v>
      </c>
      <c r="E346" s="129">
        <f t="shared" ref="E346" si="996">+D346+1</f>
        <v>2019</v>
      </c>
      <c r="F346" s="129">
        <f t="shared" ref="F346" si="997">+E346+1</f>
        <v>2020</v>
      </c>
      <c r="G346" s="129">
        <f t="shared" ref="G346" si="998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999">+P346+1</f>
        <v>2018</v>
      </c>
      <c r="R346" s="129">
        <f t="shared" ref="R346" si="1000">+Q346+1</f>
        <v>2019</v>
      </c>
      <c r="S346" s="129">
        <f t="shared" ref="S346" si="1001">+R346+1</f>
        <v>2020</v>
      </c>
      <c r="T346" s="129">
        <f t="shared" ref="T346" si="1002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003">+C186/C25</f>
        <v>4.1123483047666705</v>
      </c>
      <c r="D347" s="158">
        <f t="shared" si="1003"/>
        <v>4.3056950776601495</v>
      </c>
      <c r="E347" s="158">
        <f t="shared" si="1003"/>
        <v>4.1935256861365229</v>
      </c>
      <c r="F347" s="158">
        <f t="shared" si="1003"/>
        <v>3.2186588921282793</v>
      </c>
      <c r="G347" s="158">
        <f t="shared" si="1003"/>
        <v>2.8958965260687917</v>
      </c>
      <c r="H347" s="158">
        <f t="shared" si="1003"/>
        <v>3.3800543039553825</v>
      </c>
      <c r="I347" s="158">
        <f t="shared" ref="I347:J347" si="1004">+I186/I25</f>
        <v>3.7967192023158574</v>
      </c>
      <c r="J347" s="180">
        <f t="shared" si="1004"/>
        <v>3.6680386713889153</v>
      </c>
      <c r="K347" s="181">
        <f t="shared" ref="K347" si="1005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006">+P186/P25</f>
        <v>3.9582056381763828</v>
      </c>
      <c r="Q347" s="158">
        <f t="shared" si="1006"/>
        <v>4.1457894708208904</v>
      </c>
      <c r="R347" s="158">
        <f t="shared" si="1006"/>
        <v>4.1228277064146308</v>
      </c>
      <c r="S347" s="158">
        <f t="shared" si="1006"/>
        <v>3.7627043621856893</v>
      </c>
      <c r="T347" s="158">
        <f t="shared" si="1006"/>
        <v>3.0108190578856546</v>
      </c>
      <c r="U347" s="158">
        <f t="shared" si="1006"/>
        <v>3.281478645567466</v>
      </c>
      <c r="V347" s="158">
        <f t="shared" si="1006"/>
        <v>3.7842568467217328</v>
      </c>
      <c r="W347" s="180">
        <f t="shared" si="1006"/>
        <v>3.7841983366026852</v>
      </c>
      <c r="X347" s="181">
        <f t="shared" ref="X347" si="1007">+X186/X25</f>
        <v>3.8963609345853487</v>
      </c>
      <c r="Y347" s="147">
        <f t="shared" ref="Y347:Y352" si="1008">+X347/W347-1</f>
        <v>2.9639724984224625E-2</v>
      </c>
      <c r="Z347" s="127">
        <f t="shared" ref="Z347:Z352" si="1009">+POWER(X347/S347,0.2)-1</f>
        <v>7.0054400348178447E-3</v>
      </c>
    </row>
    <row r="348" spans="1:26" x14ac:dyDescent="0.25">
      <c r="A348" s="133" t="s">
        <v>11</v>
      </c>
      <c r="B348" s="158">
        <f t="shared" ref="B348:G348" si="1010">+B187/B26</f>
        <v>4.019343679364904</v>
      </c>
      <c r="C348" s="158">
        <f t="shared" si="1010"/>
        <v>4.5442397632910181</v>
      </c>
      <c r="D348" s="158">
        <f t="shared" si="1010"/>
        <v>4.3771339381523759</v>
      </c>
      <c r="E348" s="158">
        <f t="shared" si="1010"/>
        <v>4.0413934077165496</v>
      </c>
      <c r="F348" s="158">
        <f t="shared" si="1010"/>
        <v>2.9812136126282938</v>
      </c>
      <c r="G348" s="158">
        <f t="shared" si="1010"/>
        <v>2.8506476341527889</v>
      </c>
      <c r="H348" s="158">
        <f t="shared" si="1003"/>
        <v>3.8844534765568302</v>
      </c>
      <c r="I348" s="158">
        <f t="shared" ref="I348:J358" si="1011">+I187/I26</f>
        <v>3.8150384647199931</v>
      </c>
      <c r="J348" s="180">
        <f t="shared" si="1011"/>
        <v>3.8502292409577175</v>
      </c>
      <c r="K348" s="181">
        <f t="shared" ref="K348:K353" si="1012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013">+O187/O26</f>
        <v>3.0189016852290713</v>
      </c>
      <c r="P348" s="158">
        <f t="shared" si="1013"/>
        <v>3.9862392742942281</v>
      </c>
      <c r="Q348" s="158">
        <f t="shared" si="1013"/>
        <v>4.1359682330448244</v>
      </c>
      <c r="R348" s="158">
        <f t="shared" si="1013"/>
        <v>4.1025056038145866</v>
      </c>
      <c r="S348" s="158">
        <f t="shared" si="1013"/>
        <v>3.6727595934613744</v>
      </c>
      <c r="T348" s="158">
        <f t="shared" si="1013"/>
        <v>2.9999009947871609</v>
      </c>
      <c r="U348" s="158">
        <f t="shared" si="1013"/>
        <v>3.3530483641598132</v>
      </c>
      <c r="V348" s="158">
        <f t="shared" si="1006"/>
        <v>3.7794606488923095</v>
      </c>
      <c r="W348" s="180">
        <f t="shared" si="1006"/>
        <v>3.7859041811522807</v>
      </c>
      <c r="X348" s="181">
        <f t="shared" ref="X348:X350" si="1014">+X187/X26</f>
        <v>3.9267271940116819</v>
      </c>
      <c r="Y348" s="147">
        <f t="shared" si="1008"/>
        <v>3.7196665874554835E-2</v>
      </c>
      <c r="Z348" s="127">
        <f t="shared" si="1009"/>
        <v>1.3462411399187912E-2</v>
      </c>
    </row>
    <row r="349" spans="1:26" x14ac:dyDescent="0.25">
      <c r="A349" s="133" t="s">
        <v>0</v>
      </c>
      <c r="B349" s="158">
        <f t="shared" ref="B349:G349" si="1015">+B188/B27</f>
        <v>3.9292064546189733</v>
      </c>
      <c r="C349" s="158">
        <f t="shared" si="1015"/>
        <v>3.9620586886749201</v>
      </c>
      <c r="D349" s="158">
        <f t="shared" si="1015"/>
        <v>4.4317532838378071</v>
      </c>
      <c r="E349" s="158">
        <f t="shared" si="1015"/>
        <v>4.1364914373349242</v>
      </c>
      <c r="F349" s="158">
        <f t="shared" si="1015"/>
        <v>3.1416803953871502</v>
      </c>
      <c r="G349" s="158">
        <f t="shared" si="1015"/>
        <v>2.8968819246597022</v>
      </c>
      <c r="H349" s="158">
        <f t="shared" si="1003"/>
        <v>3.9328353481193092</v>
      </c>
      <c r="I349" s="158">
        <f t="shared" si="1011"/>
        <v>3.7356060606060604</v>
      </c>
      <c r="J349" s="180">
        <f t="shared" si="1011"/>
        <v>4.4057609435246086</v>
      </c>
      <c r="K349" s="181">
        <f t="shared" si="1012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016">+O188/O27</f>
        <v>3.1999076921801373</v>
      </c>
      <c r="P349" s="158">
        <f t="shared" si="1016"/>
        <v>3.9884309250316319</v>
      </c>
      <c r="Q349" s="158">
        <f t="shared" si="1016"/>
        <v>4.173299849772417</v>
      </c>
      <c r="R349" s="158">
        <f t="shared" si="1016"/>
        <v>4.0817015336914428</v>
      </c>
      <c r="S349" s="158">
        <f t="shared" si="1016"/>
        <v>3.5922009253139464</v>
      </c>
      <c r="T349" s="158">
        <f t="shared" si="1016"/>
        <v>2.9782389826755731</v>
      </c>
      <c r="U349" s="158">
        <f t="shared" si="1016"/>
        <v>3.450309254020663</v>
      </c>
      <c r="V349" s="158">
        <f t="shared" si="1006"/>
        <v>3.7637293784254449</v>
      </c>
      <c r="W349" s="180">
        <f t="shared" si="1006"/>
        <v>3.8249514284804285</v>
      </c>
      <c r="X349" s="181">
        <f t="shared" si="1014"/>
        <v>3.9382364445313649</v>
      </c>
      <c r="Y349" s="147">
        <f t="shared" si="1008"/>
        <v>2.9617373754715182E-2</v>
      </c>
      <c r="Z349" s="127">
        <f t="shared" si="1009"/>
        <v>1.8563790857185403E-2</v>
      </c>
    </row>
    <row r="350" spans="1:26" x14ac:dyDescent="0.25">
      <c r="A350" s="133" t="s">
        <v>1</v>
      </c>
      <c r="B350" s="158">
        <f t="shared" ref="B350:H350" si="1017">+B189/B28</f>
        <v>4.0955677671527262</v>
      </c>
      <c r="C350" s="158">
        <f t="shared" si="1017"/>
        <v>4.2326889279437605</v>
      </c>
      <c r="D350" s="158">
        <f t="shared" si="1017"/>
        <v>4.1713292000604874</v>
      </c>
      <c r="E350" s="158">
        <f t="shared" si="1017"/>
        <v>4.0441074161680808</v>
      </c>
      <c r="F350" s="158">
        <f t="shared" si="1017"/>
        <v>3.5062770803244083</v>
      </c>
      <c r="G350" s="158">
        <f t="shared" si="1017"/>
        <v>3.3608689001070826</v>
      </c>
      <c r="H350" s="158">
        <f t="shared" si="1017"/>
        <v>3.7268633556121262</v>
      </c>
      <c r="I350" s="158">
        <f t="shared" si="1011"/>
        <v>3.5949177877428999</v>
      </c>
      <c r="J350" s="180">
        <f t="shared" si="1011"/>
        <v>3.7706826817011887</v>
      </c>
      <c r="K350" s="181">
        <f t="shared" si="1012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018">+O189/O28</f>
        <v>3.4245524474526299</v>
      </c>
      <c r="P350" s="158">
        <f t="shared" si="1018"/>
        <v>3.9968075030720693</v>
      </c>
      <c r="Q350" s="158">
        <f t="shared" si="1018"/>
        <v>4.1683906717700978</v>
      </c>
      <c r="R350" s="158">
        <f t="shared" si="1018"/>
        <v>4.0718933818305816</v>
      </c>
      <c r="S350" s="158">
        <f t="shared" si="1018"/>
        <v>3.5501464128843336</v>
      </c>
      <c r="T350" s="158">
        <f t="shared" si="1018"/>
        <v>2.9699313641682785</v>
      </c>
      <c r="U350" s="158">
        <f t="shared" si="1018"/>
        <v>3.4827550349301877</v>
      </c>
      <c r="V350" s="158">
        <f t="shared" si="1006"/>
        <v>3.7571477540101594</v>
      </c>
      <c r="W350" s="180">
        <f t="shared" si="1006"/>
        <v>3.8366375006976279</v>
      </c>
      <c r="X350" s="181">
        <f t="shared" si="1014"/>
        <v>3.931730417588684</v>
      </c>
      <c r="Y350" s="147">
        <f t="shared" si="1008"/>
        <v>2.478548387064583E-2</v>
      </c>
      <c r="Z350" s="127">
        <f t="shared" si="1009"/>
        <v>2.0628035215976004E-2</v>
      </c>
    </row>
    <row r="351" spans="1:26" x14ac:dyDescent="0.25">
      <c r="A351" s="133" t="s">
        <v>2</v>
      </c>
      <c r="B351" s="158">
        <f t="shared" ref="B351:H351" si="1019">+B190/B29</f>
        <v>3.9001109199124873</v>
      </c>
      <c r="C351" s="158">
        <f t="shared" si="1019"/>
        <v>4.059988959087284</v>
      </c>
      <c r="D351" s="158">
        <f t="shared" si="1019"/>
        <v>4.2563525022876041</v>
      </c>
      <c r="E351" s="158">
        <f t="shared" si="1019"/>
        <v>4.1513184046641047</v>
      </c>
      <c r="F351" s="158">
        <f t="shared" si="1019"/>
        <v>2.993429365681072</v>
      </c>
      <c r="G351" s="158">
        <f t="shared" si="1019"/>
        <v>2.1455693081512899</v>
      </c>
      <c r="H351" s="158">
        <f t="shared" si="1019"/>
        <v>3.8751807685377271</v>
      </c>
      <c r="I351" s="158">
        <f t="shared" si="1011"/>
        <v>3.7106789491641075</v>
      </c>
      <c r="J351" s="180">
        <f t="shared" ref="J351" si="1020">+J190/J29</f>
        <v>3.4665179954159697</v>
      </c>
      <c r="K351" s="181">
        <f t="shared" si="1012"/>
        <v>4</v>
      </c>
      <c r="L351" s="127">
        <f t="shared" ref="L351:L352" si="1021">+K351/J351-1</f>
        <v>0.1538956397426734</v>
      </c>
      <c r="M351" s="2"/>
      <c r="N351" s="133" t="s">
        <v>2</v>
      </c>
      <c r="O351" s="158">
        <f t="shared" ref="O351:U351" si="1022">+O190/O29</f>
        <v>3.4549977523205384</v>
      </c>
      <c r="P351" s="158">
        <f t="shared" si="1022"/>
        <v>4.0112742766135714</v>
      </c>
      <c r="Q351" s="158">
        <f t="shared" si="1022"/>
        <v>4.1856007666813078</v>
      </c>
      <c r="R351" s="158">
        <f t="shared" si="1022"/>
        <v>4.0638536094366726</v>
      </c>
      <c r="S351" s="158">
        <f t="shared" si="1022"/>
        <v>3.4569785491785341</v>
      </c>
      <c r="T351" s="158">
        <f t="shared" si="1022"/>
        <v>2.9003027302766946</v>
      </c>
      <c r="U351" s="158">
        <f t="shared" si="1022"/>
        <v>3.6374761348095936</v>
      </c>
      <c r="V351" s="158">
        <f t="shared" si="1006"/>
        <v>3.7432280491780272</v>
      </c>
      <c r="W351" s="180">
        <f t="shared" ref="W351:X358" si="1023">+W190/W29</f>
        <v>3.8112676575585711</v>
      </c>
      <c r="X351" s="181">
        <f t="shared" si="1023"/>
        <v>3.9849543996792947</v>
      </c>
      <c r="Y351" s="147">
        <f t="shared" si="1008"/>
        <v>4.5571908804742378E-2</v>
      </c>
      <c r="Z351" s="127">
        <f t="shared" si="1009"/>
        <v>2.8834062238557445E-2</v>
      </c>
    </row>
    <row r="352" spans="1:26" x14ac:dyDescent="0.25">
      <c r="A352" s="133" t="s">
        <v>3</v>
      </c>
      <c r="B352" s="158">
        <f t="shared" ref="B352:H359" si="1024">+B191/B30</f>
        <v>3.9471856970957218</v>
      </c>
      <c r="C352" s="158">
        <f t="shared" si="1024"/>
        <v>3.9277978339350179</v>
      </c>
      <c r="D352" s="158">
        <f t="shared" si="1024"/>
        <v>3.9964724039097521</v>
      </c>
      <c r="E352" s="158">
        <f t="shared" si="1024"/>
        <v>4.043112959348214</v>
      </c>
      <c r="F352" s="158">
        <f t="shared" si="1024"/>
        <v>2.8141172082614574</v>
      </c>
      <c r="G352" s="158">
        <f t="shared" si="1024"/>
        <v>3.5556083650190113</v>
      </c>
      <c r="H352" s="158">
        <f t="shared" si="1024"/>
        <v>3.7773611945341696</v>
      </c>
      <c r="I352" s="158">
        <f t="shared" si="1011"/>
        <v>3.6390112762303044</v>
      </c>
      <c r="J352" s="180">
        <f t="shared" ref="J352:J358" si="1025">+J191/J30</f>
        <v>3.7875265339128679</v>
      </c>
      <c r="K352" s="181">
        <f t="shared" si="1012"/>
        <v>3.9807425399028453</v>
      </c>
      <c r="L352" s="127">
        <f t="shared" si="1021"/>
        <v>5.1013769609256743E-2</v>
      </c>
      <c r="M352" s="2"/>
      <c r="N352" s="133" t="s">
        <v>3</v>
      </c>
      <c r="O352" s="158">
        <f t="shared" ref="O352:U352" si="1026">+O191/O30</f>
        <v>3.458175824203392</v>
      </c>
      <c r="P352" s="158">
        <f t="shared" si="1026"/>
        <v>4.0080978798234606</v>
      </c>
      <c r="Q352" s="158">
        <f t="shared" si="1026"/>
        <v>4.1977027904717881</v>
      </c>
      <c r="R352" s="158">
        <f t="shared" si="1026"/>
        <v>4.0676958941366026</v>
      </c>
      <c r="S352" s="158">
        <f t="shared" si="1026"/>
        <v>3.3543443761158498</v>
      </c>
      <c r="T352" s="158">
        <f t="shared" si="1026"/>
        <v>2.9641178007052362</v>
      </c>
      <c r="U352" s="158">
        <f t="shared" si="1026"/>
        <v>3.6583948766792123</v>
      </c>
      <c r="V352" s="158">
        <f t="shared" si="1006"/>
        <v>3.7321537506073326</v>
      </c>
      <c r="W352" s="180">
        <f t="shared" si="1023"/>
        <v>3.8242773985720655</v>
      </c>
      <c r="X352" s="181">
        <f t="shared" si="1023"/>
        <v>3.9967634530607699</v>
      </c>
      <c r="Y352" s="147">
        <f t="shared" si="1008"/>
        <v>4.5102913965683555E-2</v>
      </c>
      <c r="Z352" s="127">
        <f t="shared" si="1009"/>
        <v>3.5667050644512033E-2</v>
      </c>
    </row>
    <row r="353" spans="1:26" x14ac:dyDescent="0.25">
      <c r="A353" s="133" t="s">
        <v>4</v>
      </c>
      <c r="B353" s="158">
        <f t="shared" ref="B353:F353" si="1027">+B192/B31</f>
        <v>3.8533552324668316</v>
      </c>
      <c r="C353" s="158">
        <f t="shared" si="1027"/>
        <v>4.0074600769320439</v>
      </c>
      <c r="D353" s="158">
        <f t="shared" si="1027"/>
        <v>4.0120915203002037</v>
      </c>
      <c r="E353" s="158">
        <f t="shared" si="1027"/>
        <v>3.4057226705796033</v>
      </c>
      <c r="F353" s="158">
        <f t="shared" si="1027"/>
        <v>3.2448566250932735</v>
      </c>
      <c r="G353" s="158">
        <f t="shared" si="1024"/>
        <v>3.6448274154409948</v>
      </c>
      <c r="H353" s="158">
        <f t="shared" ref="H353" si="1028">+H192/H31</f>
        <v>3.4064861996339428</v>
      </c>
      <c r="I353" s="158">
        <f t="shared" si="1011"/>
        <v>3.7324376986975696</v>
      </c>
      <c r="J353" s="180">
        <f t="shared" si="1025"/>
        <v>3.8914626075446725</v>
      </c>
      <c r="K353" s="181">
        <f t="shared" si="1012"/>
        <v>4.1257167743340357</v>
      </c>
      <c r="L353" s="127">
        <f t="shared" ref="L353" si="1029">+K353/J353-1</f>
        <v>6.0196946601824397E-2</v>
      </c>
      <c r="M353" s="2"/>
      <c r="N353" s="133" t="s">
        <v>4</v>
      </c>
      <c r="O353" s="158">
        <f t="shared" ref="O353:U353" si="1030">+O192/O31</f>
        <v>3.4464660008012977</v>
      </c>
      <c r="P353" s="158">
        <f t="shared" si="1030"/>
        <v>4.0180489501310239</v>
      </c>
      <c r="Q353" s="158">
        <f t="shared" si="1030"/>
        <v>4.1959845488400074</v>
      </c>
      <c r="R353" s="158">
        <f t="shared" si="1030"/>
        <v>3.9969706596473706</v>
      </c>
      <c r="S353" s="158">
        <f t="shared" si="1030"/>
        <v>3.3388178458368549</v>
      </c>
      <c r="T353" s="158">
        <f t="shared" si="1030"/>
        <v>2.9985189994116577</v>
      </c>
      <c r="U353" s="158">
        <f t="shared" si="1030"/>
        <v>3.6366381411359905</v>
      </c>
      <c r="V353" s="158">
        <f t="shared" si="1006"/>
        <v>3.7666565060490891</v>
      </c>
      <c r="W353" s="180">
        <f t="shared" si="1023"/>
        <v>3.8437939168841591</v>
      </c>
      <c r="X353" s="181">
        <f t="shared" si="1023"/>
        <v>4.0215034391347153</v>
      </c>
      <c r="Y353" s="147">
        <f t="shared" ref="Y353" si="1031">+X353/W353-1</f>
        <v>4.6232843407643109E-2</v>
      </c>
      <c r="Z353" s="127">
        <f t="shared" ref="Z353" si="1032">+POWER(X353/S353,0.2)-1</f>
        <v>3.7908679296042802E-2</v>
      </c>
    </row>
    <row r="354" spans="1:26" x14ac:dyDescent="0.25">
      <c r="A354" s="133" t="s">
        <v>5</v>
      </c>
      <c r="B354" s="158">
        <f t="shared" ref="B354:F354" si="1033">+B193/B32</f>
        <v>3.8411643376455635</v>
      </c>
      <c r="C354" s="158">
        <f t="shared" si="1033"/>
        <v>4.0526669224865692</v>
      </c>
      <c r="D354" s="158">
        <f t="shared" si="1033"/>
        <v>4.2115582569481891</v>
      </c>
      <c r="E354" s="158">
        <f t="shared" si="1033"/>
        <v>3.9878739346794032</v>
      </c>
      <c r="F354" s="158">
        <f t="shared" si="1033"/>
        <v>2.7341717259323501</v>
      </c>
      <c r="G354" s="158">
        <f t="shared" si="1024"/>
        <v>3.5892696122633003</v>
      </c>
      <c r="H354" s="158">
        <f t="shared" ref="H354" si="1034">+H193/H32</f>
        <v>3.8087482609854715</v>
      </c>
      <c r="I354" s="158">
        <f t="shared" si="1011"/>
        <v>3.9322124366159596</v>
      </c>
      <c r="J354" s="180">
        <f t="shared" si="1025"/>
        <v>3.854166666666667</v>
      </c>
      <c r="K354" s="181"/>
      <c r="L354" s="127"/>
      <c r="M354" s="2"/>
      <c r="N354" s="133" t="s">
        <v>5</v>
      </c>
      <c r="O354" s="158">
        <f t="shared" ref="O354:U354" si="1035">+O193/O32</f>
        <v>3.4398843150274248</v>
      </c>
      <c r="P354" s="158">
        <f t="shared" si="1035"/>
        <v>4.0445908727475492</v>
      </c>
      <c r="Q354" s="158">
        <f t="shared" si="1035"/>
        <v>4.2151491434037753</v>
      </c>
      <c r="R354" s="158">
        <f t="shared" si="1035"/>
        <v>3.9708003091867692</v>
      </c>
      <c r="S354" s="158">
        <f t="shared" si="1035"/>
        <v>3.2157696536826017</v>
      </c>
      <c r="T354" s="158">
        <f t="shared" si="1035"/>
        <v>3.0766975465743664</v>
      </c>
      <c r="U354" s="158">
        <f t="shared" si="1035"/>
        <v>3.6597303037369242</v>
      </c>
      <c r="V354" s="158">
        <f t="shared" si="1006"/>
        <v>3.7781920852114177</v>
      </c>
      <c r="W354" s="180">
        <f t="shared" si="1023"/>
        <v>3.8343318075035162</v>
      </c>
      <c r="X354" s="181"/>
      <c r="Y354" s="147"/>
      <c r="Z354" s="127"/>
    </row>
    <row r="355" spans="1:26" x14ac:dyDescent="0.25">
      <c r="A355" s="133" t="s">
        <v>6</v>
      </c>
      <c r="B355" s="158">
        <f t="shared" ref="B355:F355" si="1036">+B194/B33</f>
        <v>3.893435774909622</v>
      </c>
      <c r="C355" s="158">
        <f t="shared" si="1036"/>
        <v>4.2808679058590711</v>
      </c>
      <c r="D355" s="158">
        <f t="shared" si="1036"/>
        <v>3.988826815642458</v>
      </c>
      <c r="E355" s="158">
        <f t="shared" si="1036"/>
        <v>3.4149556048834628</v>
      </c>
      <c r="F355" s="158">
        <f t="shared" si="1036"/>
        <v>3.2393359949569236</v>
      </c>
      <c r="G355" s="158">
        <f t="shared" si="1024"/>
        <v>3.7112580297275759</v>
      </c>
      <c r="H355" s="158">
        <f t="shared" ref="H355" si="1037">+H194/H33</f>
        <v>3.7324026142699429</v>
      </c>
      <c r="I355" s="158">
        <f t="shared" si="1011"/>
        <v>3.9177718832891251</v>
      </c>
      <c r="J355" s="180">
        <f t="shared" si="1025"/>
        <v>3.6939025175455544</v>
      </c>
      <c r="K355" s="181"/>
      <c r="L355" s="127"/>
      <c r="M355" s="2"/>
      <c r="N355" s="133" t="s">
        <v>6</v>
      </c>
      <c r="O355" s="158">
        <f t="shared" ref="O355:U355" si="1038">+O194/O33</f>
        <v>3.4416745845115155</v>
      </c>
      <c r="P355" s="158">
        <f t="shared" si="1038"/>
        <v>4.0773943553102967</v>
      </c>
      <c r="Q355" s="158">
        <f t="shared" si="1038"/>
        <v>4.1909924937447887</v>
      </c>
      <c r="R355" s="158">
        <f t="shared" si="1038"/>
        <v>3.9231150622066941</v>
      </c>
      <c r="S355" s="158">
        <f t="shared" si="1038"/>
        <v>3.205017844430071</v>
      </c>
      <c r="T355" s="158">
        <f t="shared" si="1038"/>
        <v>3.1164466675167724</v>
      </c>
      <c r="U355" s="158">
        <f t="shared" si="1038"/>
        <v>3.6604475684890021</v>
      </c>
      <c r="V355" s="158">
        <f t="shared" si="1006"/>
        <v>3.7941334254445946</v>
      </c>
      <c r="W355" s="180">
        <f t="shared" si="1023"/>
        <v>3.8124984129402497</v>
      </c>
      <c r="X355" s="181"/>
      <c r="Y355" s="147"/>
      <c r="Z355" s="127"/>
    </row>
    <row r="356" spans="1:26" x14ac:dyDescent="0.25">
      <c r="A356" s="133" t="s">
        <v>7</v>
      </c>
      <c r="B356" s="158">
        <f t="shared" ref="B356:F356" si="1039">+B195/B34</f>
        <v>3.8383197627442764</v>
      </c>
      <c r="C356" s="158">
        <f t="shared" si="1039"/>
        <v>4.0623438280859574</v>
      </c>
      <c r="D356" s="158">
        <f t="shared" si="1039"/>
        <v>3.9804958888393145</v>
      </c>
      <c r="E356" s="158">
        <f t="shared" si="1039"/>
        <v>3.663033836015714</v>
      </c>
      <c r="F356" s="158">
        <f t="shared" si="1039"/>
        <v>2.7539321584233467</v>
      </c>
      <c r="G356" s="158">
        <f t="shared" si="1024"/>
        <v>3.537488823604547</v>
      </c>
      <c r="H356" s="158">
        <f t="shared" ref="H356" si="1040">+H195/H34</f>
        <v>3.9295139918682405</v>
      </c>
      <c r="I356" s="158">
        <f t="shared" si="1011"/>
        <v>4.1690682036503359</v>
      </c>
      <c r="J356" s="180">
        <f t="shared" si="1025"/>
        <v>4.0709954350344075</v>
      </c>
      <c r="K356" s="181"/>
      <c r="L356" s="127"/>
      <c r="M356" s="2"/>
      <c r="N356" s="133" t="s">
        <v>7</v>
      </c>
      <c r="O356" s="158">
        <f t="shared" ref="O356:U356" si="1041">+O195/O34</f>
        <v>3.4989698278240113</v>
      </c>
      <c r="P356" s="158">
        <f t="shared" si="1041"/>
        <v>4.0979568101921604</v>
      </c>
      <c r="Q356" s="158">
        <f t="shared" si="1041"/>
        <v>4.1837794553694216</v>
      </c>
      <c r="R356" s="158">
        <f t="shared" si="1041"/>
        <v>3.8942764784179502</v>
      </c>
      <c r="S356" s="158">
        <f t="shared" si="1041"/>
        <v>3.1289644431730981</v>
      </c>
      <c r="T356" s="158">
        <f t="shared" si="1041"/>
        <v>3.1763844532246055</v>
      </c>
      <c r="U356" s="158">
        <f t="shared" si="1041"/>
        <v>3.6915132452201052</v>
      </c>
      <c r="V356" s="158">
        <f t="shared" si="1006"/>
        <v>3.8047607350748622</v>
      </c>
      <c r="W356" s="180">
        <f t="shared" si="1023"/>
        <v>3.8106998444790037</v>
      </c>
      <c r="X356" s="181"/>
      <c r="Y356" s="147"/>
      <c r="Z356" s="127"/>
    </row>
    <row r="357" spans="1:26" x14ac:dyDescent="0.25">
      <c r="A357" s="133" t="s">
        <v>8</v>
      </c>
      <c r="B357" s="158">
        <f t="shared" ref="B357:F357" si="1042">+B196/B35</f>
        <v>4.0105729389912845</v>
      </c>
      <c r="C357" s="158">
        <f t="shared" si="1042"/>
        <v>4.1924372894047179</v>
      </c>
      <c r="D357" s="158">
        <f t="shared" si="1042"/>
        <v>4.2579153042507381</v>
      </c>
      <c r="E357" s="158">
        <f t="shared" si="1042"/>
        <v>3.9786459195497441</v>
      </c>
      <c r="F357" s="158">
        <f t="shared" si="1042"/>
        <v>2.6615796884225826</v>
      </c>
      <c r="G357" s="158">
        <f t="shared" si="1024"/>
        <v>3.3722576079263979</v>
      </c>
      <c r="H357" s="158">
        <f>+H196/H35</f>
        <v>3.8417205510261456</v>
      </c>
      <c r="I357" s="158">
        <f t="shared" si="1011"/>
        <v>3.899647887323944</v>
      </c>
      <c r="J357" s="180">
        <f t="shared" si="1025"/>
        <v>3.9335446077019114</v>
      </c>
      <c r="K357" s="181"/>
      <c r="L357" s="127"/>
      <c r="M357" s="2"/>
      <c r="N357" s="133" t="s">
        <v>8</v>
      </c>
      <c r="O357" s="158">
        <f t="shared" ref="O357:U357" si="1043">+O196/O35</f>
        <v>3.5944966988932667</v>
      </c>
      <c r="P357" s="158">
        <f t="shared" si="1043"/>
        <v>4.1111382225947111</v>
      </c>
      <c r="Q357" s="158">
        <f t="shared" si="1043"/>
        <v>4.1885250202599114</v>
      </c>
      <c r="R357" s="158">
        <f t="shared" si="1043"/>
        <v>3.8738228667167371</v>
      </c>
      <c r="S357" s="158">
        <f t="shared" si="1043"/>
        <v>3.0396569551730428</v>
      </c>
      <c r="T357" s="158">
        <f t="shared" si="1043"/>
        <v>3.2409885227378923</v>
      </c>
      <c r="U357" s="158">
        <f t="shared" si="1043"/>
        <v>3.731370048156831</v>
      </c>
      <c r="V357" s="158">
        <f t="shared" si="1006"/>
        <v>3.8073579533828701</v>
      </c>
      <c r="W357" s="180">
        <f t="shared" si="1023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044">+B197/B36</f>
        <v>4.1620879120879115</v>
      </c>
      <c r="C358" s="158">
        <f t="shared" si="1044"/>
        <v>4.4688275434243172</v>
      </c>
      <c r="D358" s="158">
        <f t="shared" si="1044"/>
        <v>3.7323388080040161</v>
      </c>
      <c r="E358" s="158">
        <f t="shared" si="1044"/>
        <v>3.4651853948485707</v>
      </c>
      <c r="F358" s="158">
        <f t="shared" si="1044"/>
        <v>3.4019865614957641</v>
      </c>
      <c r="G358" s="158">
        <f t="shared" si="1024"/>
        <v>3.4618515933938125</v>
      </c>
      <c r="H358" s="158">
        <f>+H197/H36</f>
        <v>3.7822841667217122</v>
      </c>
      <c r="I358" s="158">
        <f t="shared" si="1011"/>
        <v>3.5828460038986352</v>
      </c>
      <c r="J358" s="180">
        <f t="shared" si="1025"/>
        <v>4.314113597246128</v>
      </c>
      <c r="K358" s="181"/>
      <c r="L358" s="127"/>
      <c r="M358" s="2"/>
      <c r="N358" s="133" t="s">
        <v>9</v>
      </c>
      <c r="O358" s="158">
        <f t="shared" ref="O358:U358" si="1045">+O197/O36</f>
        <v>3.7369851648646861</v>
      </c>
      <c r="P358" s="158">
        <f t="shared" si="1045"/>
        <v>4.1318541352256801</v>
      </c>
      <c r="Q358" s="158">
        <f t="shared" si="1045"/>
        <v>4.1307194844930697</v>
      </c>
      <c r="R358" s="158">
        <f t="shared" si="1045"/>
        <v>3.8518804933084789</v>
      </c>
      <c r="S358" s="158">
        <f t="shared" si="1045"/>
        <v>3.0350753480111781</v>
      </c>
      <c r="T358" s="158">
        <f t="shared" si="1045"/>
        <v>3.2476582707616588</v>
      </c>
      <c r="U358" s="158">
        <f t="shared" si="1045"/>
        <v>3.7571078745653419</v>
      </c>
      <c r="V358" s="158">
        <f t="shared" si="1006"/>
        <v>3.7925435139475763</v>
      </c>
      <c r="W358" s="180">
        <f t="shared" si="1023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046">+B198/B37</f>
        <v>3.7369851648646861</v>
      </c>
      <c r="C359" s="182">
        <f t="shared" si="1046"/>
        <v>4.1318541352256801</v>
      </c>
      <c r="D359" s="182">
        <f t="shared" si="1046"/>
        <v>4.1307194844930697</v>
      </c>
      <c r="E359" s="182">
        <f t="shared" si="1046"/>
        <v>3.8518804933084789</v>
      </c>
      <c r="F359" s="182">
        <f t="shared" si="1046"/>
        <v>3.0350753480111781</v>
      </c>
      <c r="G359" s="182">
        <f t="shared" si="1024"/>
        <v>3.2476582707616588</v>
      </c>
      <c r="H359" s="182">
        <f t="shared" ref="H359" si="1047">+H198/H37</f>
        <v>3.7571078745653419</v>
      </c>
      <c r="I359" s="182">
        <f t="shared" ref="I359:J359" si="1048">+I198/I37</f>
        <v>3.7925435139475763</v>
      </c>
      <c r="J359" s="183">
        <f t="shared" si="1048"/>
        <v>3.8679304343471017</v>
      </c>
      <c r="K359" s="183"/>
      <c r="L359" s="137"/>
      <c r="M359" s="3"/>
      <c r="N359" s="134" t="s">
        <v>14</v>
      </c>
      <c r="O359" s="182">
        <f t="shared" ref="O359:W359" si="1049">+O198/O37</f>
        <v>3.3742857915846103</v>
      </c>
      <c r="P359" s="182">
        <f t="shared" si="1049"/>
        <v>4.0350845216757882</v>
      </c>
      <c r="Q359" s="182">
        <f t="shared" si="1049"/>
        <v>4.175586625954895</v>
      </c>
      <c r="R359" s="182">
        <f t="shared" si="1049"/>
        <v>4.0022006979219871</v>
      </c>
      <c r="S359" s="182">
        <f t="shared" si="1049"/>
        <v>3.3429532479555628</v>
      </c>
      <c r="T359" s="182">
        <f t="shared" si="1049"/>
        <v>3.0560194311608222</v>
      </c>
      <c r="U359" s="182">
        <f t="shared" si="1049"/>
        <v>3.5791317287920372</v>
      </c>
      <c r="V359" s="182">
        <f t="shared" si="1049"/>
        <v>3.7745270068205823</v>
      </c>
      <c r="W359" s="183">
        <f t="shared" si="1049"/>
        <v>3.8206538773529597</v>
      </c>
      <c r="X359" s="183">
        <f t="shared" ref="X359" si="1050">+X198/X37</f>
        <v>3.9564096261703128</v>
      </c>
      <c r="Y359" s="149">
        <f>+X359/W359-1</f>
        <v>3.5532072041921658E-2</v>
      </c>
      <c r="Z359" s="156">
        <f>+POWER(X359/S359,0.2)-1</f>
        <v>3.4270623122300226E-2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051">+C359/C$485</f>
        <v>1.0953826320026254</v>
      </c>
      <c r="D360" s="138">
        <f t="shared" ref="D360" si="1052">+D359/D$485</f>
        <v>1.0857873771261988</v>
      </c>
      <c r="E360" s="138">
        <f t="shared" ref="E360" si="1053">+E359/E$485</f>
        <v>1.1327413599129088</v>
      </c>
      <c r="F360" s="138">
        <f t="shared" ref="F360:G360" si="1054">+F359/F$485</f>
        <v>1.1038157479840445</v>
      </c>
      <c r="G360" s="138">
        <f t="shared" si="1054"/>
        <v>1.0617581568943601</v>
      </c>
      <c r="H360" s="138">
        <f t="shared" ref="H360" si="1055">+H359/H$485</f>
        <v>1.1565695024217679</v>
      </c>
      <c r="I360" s="138">
        <f t="shared" ref="I360:J360" si="1056">+I359/I$485</f>
        <v>1.0729621619303742</v>
      </c>
      <c r="J360" s="139">
        <f t="shared" si="1056"/>
        <v>1.0893925328430116</v>
      </c>
      <c r="K360" s="139"/>
      <c r="L360" s="140"/>
      <c r="M360" s="3"/>
      <c r="N360" s="135" t="s">
        <v>15</v>
      </c>
      <c r="O360" s="138">
        <f t="shared" ref="O360" si="1057">+O359/O$485</f>
        <v>0.98975412042686783</v>
      </c>
      <c r="P360" s="138">
        <f t="shared" ref="P360" si="1058">+P359/P$485</f>
        <v>1.11594817154516</v>
      </c>
      <c r="Q360" s="138">
        <f t="shared" ref="Q360" si="1059">+Q359/Q$485</f>
        <v>1.0820065899905742</v>
      </c>
      <c r="R360" s="138">
        <f t="shared" ref="R360" si="1060">+R359/R$485</f>
        <v>1.1148475919317855</v>
      </c>
      <c r="S360" s="138">
        <f t="shared" ref="S360:W360" si="1061">+S359/S$485</f>
        <v>1.113595365878016</v>
      </c>
      <c r="T360" s="138">
        <f t="shared" si="1061"/>
        <v>1.0546878893318605</v>
      </c>
      <c r="U360" s="138">
        <f t="shared" si="1061"/>
        <v>1.1374790681513864</v>
      </c>
      <c r="V360" s="138">
        <f t="shared" si="1061"/>
        <v>1.1086451919079536</v>
      </c>
      <c r="W360" s="139">
        <f t="shared" si="1061"/>
        <v>1.0779389398926944</v>
      </c>
      <c r="X360" s="139">
        <f t="shared" ref="X360" si="1062">+X359/X$485</f>
        <v>1.1066138885296499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63">+D359/C359-1</f>
        <v>-2.7461054903588078E-4</v>
      </c>
      <c r="E361" s="142">
        <f t="shared" ref="E361" si="1064">+E359/D359-1</f>
        <v>-6.7503734453856379E-2</v>
      </c>
      <c r="F361" s="142">
        <f t="shared" ref="F361:J361" si="1065">+F359/E359-1</f>
        <v>-0.21205360517187954</v>
      </c>
      <c r="G361" s="142">
        <f t="shared" si="1065"/>
        <v>7.0042057733354701E-2</v>
      </c>
      <c r="H361" s="142">
        <f t="shared" si="1065"/>
        <v>0.15686675177317966</v>
      </c>
      <c r="I361" s="142">
        <f t="shared" si="1065"/>
        <v>9.4316268165002271E-3</v>
      </c>
      <c r="J361" s="143">
        <f t="shared" si="1065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066">+Q359/P359-1</f>
        <v>3.4820114305996075E-2</v>
      </c>
      <c r="R361" s="142">
        <f t="shared" ref="R361" si="1067">+R359/Q359-1</f>
        <v>-4.1523729134288367E-2</v>
      </c>
      <c r="S361" s="142">
        <f t="shared" ref="S361" si="1068">+S359/R359-1</f>
        <v>-0.16472123707057396</v>
      </c>
      <c r="T361" s="142">
        <f t="shared" ref="T361" si="1069">+T359/S359-1</f>
        <v>-8.5832434829957505E-2</v>
      </c>
      <c r="U361" s="142">
        <f t="shared" ref="U361" si="1070">+U359/T359-1</f>
        <v>0.17117440167339248</v>
      </c>
      <c r="V361" s="142">
        <f t="shared" ref="V361" si="1071">+V359/U359-1</f>
        <v>5.4592927233357624E-2</v>
      </c>
      <c r="W361" s="143">
        <f t="shared" ref="W361:X361" si="1072">+W359/V359-1</f>
        <v>1.2220569742652732E-2</v>
      </c>
      <c r="X361" s="143">
        <f t="shared" si="1072"/>
        <v>3.5532072041921658E-2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73" t="s">
        <v>86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87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073">+C364+1</f>
        <v>2018</v>
      </c>
      <c r="E364" s="129">
        <f t="shared" ref="E364" si="1074">+D364+1</f>
        <v>2019</v>
      </c>
      <c r="F364" s="129">
        <f t="shared" ref="F364" si="1075">+E364+1</f>
        <v>2020</v>
      </c>
      <c r="G364" s="129">
        <f t="shared" ref="G364" si="1076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077">+P364+1</f>
        <v>2018</v>
      </c>
      <c r="R364" s="129">
        <f t="shared" ref="R364" si="1078">+Q364+1</f>
        <v>2019</v>
      </c>
      <c r="S364" s="129">
        <f t="shared" ref="S364" si="1079">+R364+1</f>
        <v>2020</v>
      </c>
      <c r="T364" s="129">
        <f t="shared" ref="T364" si="1080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081">+C204/C43</f>
        <v>3.0088987764182429</v>
      </c>
      <c r="D365" s="158">
        <f t="shared" si="1081"/>
        <v>3.3797752808988766</v>
      </c>
      <c r="E365" s="158">
        <f t="shared" si="1081"/>
        <v>0.45038705137227303</v>
      </c>
      <c r="F365" s="158">
        <f t="shared" si="1081"/>
        <v>1.5001198178768271</v>
      </c>
      <c r="G365" s="158">
        <f t="shared" si="1081"/>
        <v>0.95307917888563054</v>
      </c>
      <c r="H365" s="158">
        <f t="shared" si="1081"/>
        <v>1.9687367976341361</v>
      </c>
      <c r="I365" s="158">
        <f t="shared" ref="I365:J365" si="1082">+I204/I43</f>
        <v>2.8234501347708894</v>
      </c>
      <c r="J365" s="180">
        <f t="shared" si="1082"/>
        <v>2.9390681003584231</v>
      </c>
      <c r="K365" s="181">
        <f t="shared" ref="K365" si="1083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084">+P204/P43</f>
        <v>3.0684303311163261</v>
      </c>
      <c r="Q365" s="158">
        <f t="shared" si="1084"/>
        <v>3.3072416217483007</v>
      </c>
      <c r="R365" s="158">
        <f t="shared" si="1084"/>
        <v>1.7256415287679594</v>
      </c>
      <c r="S365" s="158">
        <f t="shared" si="1084"/>
        <v>0.44945540975974319</v>
      </c>
      <c r="T365" s="158">
        <f t="shared" si="1084"/>
        <v>1.2155857620089854</v>
      </c>
      <c r="U365" s="158">
        <f t="shared" si="1084"/>
        <v>1.775777414075286</v>
      </c>
      <c r="V365" s="158">
        <f t="shared" si="1084"/>
        <v>2.2224794676321737</v>
      </c>
      <c r="W365" s="180">
        <f t="shared" si="1084"/>
        <v>3.0067490191920272</v>
      </c>
      <c r="X365" s="181">
        <f t="shared" ref="X365" si="1085">+X204/X43</f>
        <v>3.4719164727341338</v>
      </c>
      <c r="Y365" s="147">
        <f t="shared" ref="Y365:Y371" si="1086">+X365/W365-1</f>
        <v>0.154707775931064</v>
      </c>
      <c r="Z365" s="127">
        <f t="shared" ref="Z365:Z371" si="1087">+POWER(X365/S365,0.2)-1</f>
        <v>0.50513873059582659</v>
      </c>
    </row>
    <row r="366" spans="1:26" x14ac:dyDescent="0.25">
      <c r="A366" s="133" t="s">
        <v>11</v>
      </c>
      <c r="B366" s="158">
        <f t="shared" ref="B366:G366" si="1088">+B205/B44</f>
        <v>2.6951333541119373</v>
      </c>
      <c r="C366" s="158">
        <f t="shared" si="1088"/>
        <v>3.0464584920030466</v>
      </c>
      <c r="D366" s="158">
        <f t="shared" si="1088"/>
        <v>3.4738485558157692</v>
      </c>
      <c r="E366" s="158">
        <f t="shared" si="1088"/>
        <v>0.39689975300229968</v>
      </c>
      <c r="F366" s="158">
        <f t="shared" si="1088"/>
        <v>0.91633466135458164</v>
      </c>
      <c r="G366" s="158">
        <f t="shared" si="1088"/>
        <v>1.4658782951465879</v>
      </c>
      <c r="H366" s="158">
        <f t="shared" si="1081"/>
        <v>2.0341331530922608</v>
      </c>
      <c r="I366" s="158">
        <f t="shared" ref="I366:J376" si="1089">+I205/I44</f>
        <v>2.9729729729729732</v>
      </c>
      <c r="J366" s="180">
        <f t="shared" si="1089"/>
        <v>3.0616740088105727</v>
      </c>
      <c r="K366" s="181">
        <f t="shared" ref="K366:K371" si="1090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091">+O205/O44</f>
        <v>3.097277798441092</v>
      </c>
      <c r="P366" s="158">
        <f t="shared" si="1091"/>
        <v>3.0948145103278182</v>
      </c>
      <c r="Q366" s="158">
        <f t="shared" si="1091"/>
        <v>3.333333333333333</v>
      </c>
      <c r="R366" s="158">
        <f t="shared" si="1091"/>
        <v>1.4089157952669236</v>
      </c>
      <c r="S366" s="158">
        <f t="shared" si="1091"/>
        <v>0.46980378670640605</v>
      </c>
      <c r="T366" s="158">
        <f t="shared" si="1091"/>
        <v>1.2548356255056261</v>
      </c>
      <c r="U366" s="158">
        <f t="shared" si="1091"/>
        <v>1.8160441223319532</v>
      </c>
      <c r="V366" s="158">
        <f t="shared" si="1084"/>
        <v>2.259512193173713</v>
      </c>
      <c r="W366" s="180">
        <f t="shared" si="1084"/>
        <v>3.0106831318970046</v>
      </c>
      <c r="X366" s="181">
        <f t="shared" ref="X366:X368" si="1092">+X205/X44</f>
        <v>3.543617227351973</v>
      </c>
      <c r="Y366" s="147">
        <f t="shared" si="1086"/>
        <v>0.17701434262833615</v>
      </c>
      <c r="Z366" s="127">
        <f t="shared" si="1087"/>
        <v>0.49798014927853651</v>
      </c>
    </row>
    <row r="367" spans="1:26" x14ac:dyDescent="0.25">
      <c r="A367" s="133" t="s">
        <v>0</v>
      </c>
      <c r="B367" s="158">
        <f t="shared" ref="B367:G367" si="1093">+B206/B45</f>
        <v>3.1577278731836196</v>
      </c>
      <c r="C367" s="158">
        <f t="shared" si="1093"/>
        <v>2.9478138222849082</v>
      </c>
      <c r="D367" s="158">
        <f t="shared" si="1093"/>
        <v>3.7866666666666666</v>
      </c>
      <c r="E367" s="158">
        <f t="shared" si="1093"/>
        <v>0.37147482320865638</v>
      </c>
      <c r="F367" s="158">
        <f t="shared" si="1093"/>
        <v>1.5316600114090131</v>
      </c>
      <c r="G367" s="158">
        <f t="shared" si="1093"/>
        <v>1.5232541601479164</v>
      </c>
      <c r="H367" s="158">
        <f t="shared" si="1081"/>
        <v>1.7562701101664218</v>
      </c>
      <c r="I367" s="158">
        <f t="shared" si="1089"/>
        <v>2.7134404057480981</v>
      </c>
      <c r="J367" s="180">
        <f t="shared" si="1089"/>
        <v>4.0909090909090908</v>
      </c>
      <c r="K367" s="181">
        <f t="shared" si="1090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094">+O206/O45</f>
        <v>3.0880954046886044</v>
      </c>
      <c r="P367" s="158">
        <f t="shared" si="1094"/>
        <v>3.0742313999273376</v>
      </c>
      <c r="Q367" s="158">
        <f t="shared" si="1094"/>
        <v>3.4221465417939601</v>
      </c>
      <c r="R367" s="158">
        <f t="shared" si="1094"/>
        <v>1.1724055044768946</v>
      </c>
      <c r="S367" s="158">
        <f t="shared" si="1094"/>
        <v>0.50258078391311367</v>
      </c>
      <c r="T367" s="158">
        <f t="shared" si="1094"/>
        <v>1.2676548734442734</v>
      </c>
      <c r="U367" s="158">
        <f t="shared" si="1094"/>
        <v>1.853175987085969</v>
      </c>
      <c r="V367" s="158">
        <f t="shared" si="1084"/>
        <v>2.3834581393779932</v>
      </c>
      <c r="W367" s="180">
        <f t="shared" si="1084"/>
        <v>3.0924324636342648</v>
      </c>
      <c r="X367" s="181">
        <f t="shared" si="1092"/>
        <v>3.5340262796626787</v>
      </c>
      <c r="Y367" s="147">
        <f t="shared" si="1086"/>
        <v>0.14279820860160264</v>
      </c>
      <c r="Z367" s="127">
        <f t="shared" si="1087"/>
        <v>0.47710979844889279</v>
      </c>
    </row>
    <row r="368" spans="1:26" x14ac:dyDescent="0.25">
      <c r="A368" s="133" t="s">
        <v>1</v>
      </c>
      <c r="B368" s="158">
        <f t="shared" ref="B368:H368" si="1095">+B207/B46</f>
        <v>2.658599739661673</v>
      </c>
      <c r="C368" s="158">
        <f t="shared" si="1095"/>
        <v>3.1627906976744189</v>
      </c>
      <c r="D368" s="158">
        <f t="shared" si="1095"/>
        <v>3.4922766957689726</v>
      </c>
      <c r="E368" s="158">
        <f t="shared" si="1095"/>
        <v>0.47238068735216365</v>
      </c>
      <c r="F368" s="158">
        <f t="shared" si="1095"/>
        <v>1.2892500923531585</v>
      </c>
      <c r="G368" s="158">
        <f t="shared" si="1095"/>
        <v>1.8614379084967319</v>
      </c>
      <c r="H368" s="158">
        <f t="shared" si="1095"/>
        <v>2.9529175818928466</v>
      </c>
      <c r="I368" s="158">
        <f t="shared" si="1089"/>
        <v>3.1791156462585035</v>
      </c>
      <c r="J368" s="180">
        <f t="shared" si="1089"/>
        <v>5.0960978450786261</v>
      </c>
      <c r="K368" s="181">
        <f t="shared" si="1090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096">+O207/O46</f>
        <v>3.0991299987089267</v>
      </c>
      <c r="P368" s="158">
        <f t="shared" si="1096"/>
        <v>3.1432600131903454</v>
      </c>
      <c r="Q368" s="158">
        <f t="shared" si="1096"/>
        <v>3.4500405350628292</v>
      </c>
      <c r="R368" s="158">
        <f t="shared" si="1096"/>
        <v>1.0022781910407934</v>
      </c>
      <c r="S368" s="158">
        <f t="shared" si="1096"/>
        <v>0.53614337204645568</v>
      </c>
      <c r="T368" s="158">
        <f t="shared" si="1096"/>
        <v>1.2984654109638021</v>
      </c>
      <c r="U368" s="158">
        <f t="shared" si="1096"/>
        <v>1.9023899850720725</v>
      </c>
      <c r="V368" s="158">
        <f t="shared" si="1084"/>
        <v>2.3826112823821237</v>
      </c>
      <c r="W368" s="180">
        <f t="shared" si="1084"/>
        <v>3.2809743327073022</v>
      </c>
      <c r="X368" s="181">
        <f t="shared" si="1092"/>
        <v>3.3564474329340896</v>
      </c>
      <c r="Y368" s="147">
        <f t="shared" si="1086"/>
        <v>2.3003258353597289E-2</v>
      </c>
      <c r="Z368" s="127">
        <f t="shared" si="1087"/>
        <v>0.44317760744985235</v>
      </c>
    </row>
    <row r="369" spans="1:26" x14ac:dyDescent="0.25">
      <c r="A369" s="133" t="s">
        <v>2</v>
      </c>
      <c r="B369" s="158">
        <f t="shared" ref="B369:H369" si="1097">+B208/B47</f>
        <v>3.3824441170392197</v>
      </c>
      <c r="C369" s="158">
        <f t="shared" si="1097"/>
        <v>3.2817337461300307</v>
      </c>
      <c r="D369" s="158">
        <f t="shared" si="1097"/>
        <v>3.0403905903240127</v>
      </c>
      <c r="E369" s="158">
        <f t="shared" si="1097"/>
        <v>0.61282628859149335</v>
      </c>
      <c r="F369" s="158">
        <f t="shared" si="1097"/>
        <v>1.0673807448000996</v>
      </c>
      <c r="G369" s="158">
        <f t="shared" si="1097"/>
        <v>1.1410880141530297</v>
      </c>
      <c r="H369" s="158">
        <f t="shared" si="1097"/>
        <v>3.0910567953198518</v>
      </c>
      <c r="I369" s="158">
        <f t="shared" si="1089"/>
        <v>2.981987991994663</v>
      </c>
      <c r="J369" s="180">
        <f t="shared" ref="J369" si="1098">+J208/J47</f>
        <v>3.1374243733794294</v>
      </c>
      <c r="K369" s="181">
        <f t="shared" si="1090"/>
        <v>3.4276206322795337</v>
      </c>
      <c r="L369" s="127">
        <f t="shared" ref="L369:L370" si="1099">+K369/J369-1</f>
        <v>9.2495061032347392E-2</v>
      </c>
      <c r="M369" s="2"/>
      <c r="N369" s="133" t="s">
        <v>2</v>
      </c>
      <c r="O369" s="158">
        <f t="shared" ref="O369:U369" si="1100">+O208/O47</f>
        <v>3.0923689648758415</v>
      </c>
      <c r="P369" s="158">
        <f t="shared" si="1100"/>
        <v>3.1355782728665367</v>
      </c>
      <c r="Q369" s="158">
        <f t="shared" si="1100"/>
        <v>3.415954002995603</v>
      </c>
      <c r="R369" s="158">
        <f t="shared" si="1100"/>
        <v>0.88882869216599847</v>
      </c>
      <c r="S369" s="158">
        <f t="shared" si="1100"/>
        <v>0.55955169582802966</v>
      </c>
      <c r="T369" s="158">
        <f t="shared" si="1100"/>
        <v>1.3099381143065161</v>
      </c>
      <c r="U369" s="158">
        <f t="shared" si="1100"/>
        <v>2.0806174212006292</v>
      </c>
      <c r="V369" s="158">
        <f t="shared" si="1084"/>
        <v>2.367629209317899</v>
      </c>
      <c r="W369" s="180">
        <f t="shared" ref="W369:X376" si="1101">+W208/W47</f>
        <v>3.2973474955017705</v>
      </c>
      <c r="X369" s="181">
        <f t="shared" si="1101"/>
        <v>3.3801145091467677</v>
      </c>
      <c r="Y369" s="147">
        <f t="shared" si="1086"/>
        <v>2.5101089211224448E-2</v>
      </c>
      <c r="Z369" s="127">
        <f t="shared" si="1087"/>
        <v>0.43290777570674588</v>
      </c>
    </row>
    <row r="370" spans="1:26" x14ac:dyDescent="0.25">
      <c r="A370" s="133" t="s">
        <v>3</v>
      </c>
      <c r="B370" s="158">
        <f t="shared" ref="B370:H377" si="1102">+B209/B48</f>
        <v>2.9457872277689958</v>
      </c>
      <c r="C370" s="158">
        <f t="shared" si="1102"/>
        <v>3.5198135198135199</v>
      </c>
      <c r="D370" s="158">
        <f t="shared" si="1102"/>
        <v>3.3831131533601377</v>
      </c>
      <c r="E370" s="158">
        <f t="shared" si="1102"/>
        <v>0.4396163965034372</v>
      </c>
      <c r="F370" s="158">
        <f t="shared" si="1102"/>
        <v>0.82738944365192579</v>
      </c>
      <c r="G370" s="158">
        <f t="shared" si="1102"/>
        <v>2.9359745313052703</v>
      </c>
      <c r="H370" s="158">
        <f t="shared" si="1102"/>
        <v>1.3058149466551887</v>
      </c>
      <c r="I370" s="158">
        <f t="shared" si="1089"/>
        <v>3.7709497206703912</v>
      </c>
      <c r="J370" s="180">
        <f t="shared" ref="J370:J376" si="1103">+J209/J48</f>
        <v>3.4523809523809526</v>
      </c>
      <c r="K370" s="181">
        <f t="shared" si="1090"/>
        <v>3.5441176470588234</v>
      </c>
      <c r="L370" s="127">
        <f t="shared" si="1099"/>
        <v>2.6572008113590062E-2</v>
      </c>
      <c r="M370" s="2"/>
      <c r="N370" s="133" t="s">
        <v>3</v>
      </c>
      <c r="O370" s="158">
        <f t="shared" ref="O370:U370" si="1104">+O209/O48</f>
        <v>3.0763889334768222</v>
      </c>
      <c r="P370" s="158">
        <f t="shared" si="1104"/>
        <v>3.1786121317294738</v>
      </c>
      <c r="Q370" s="158">
        <f t="shared" si="1104"/>
        <v>3.4069311143681151</v>
      </c>
      <c r="R370" s="158">
        <f t="shared" si="1104"/>
        <v>0.79466833444083962</v>
      </c>
      <c r="S370" s="158">
        <f t="shared" si="1104"/>
        <v>0.58658067523990842</v>
      </c>
      <c r="T370" s="158">
        <f t="shared" si="1104"/>
        <v>1.4403285729961905</v>
      </c>
      <c r="U370" s="158">
        <f t="shared" si="1104"/>
        <v>1.9222685520117957</v>
      </c>
      <c r="V370" s="158">
        <f t="shared" si="1084"/>
        <v>2.7242865369396068</v>
      </c>
      <c r="W370" s="180">
        <f t="shared" si="1101"/>
        <v>3.2724123514304484</v>
      </c>
      <c r="X370" s="181">
        <f t="shared" si="1101"/>
        <v>3.3849035659775217</v>
      </c>
      <c r="Y370" s="147">
        <f t="shared" si="1086"/>
        <v>3.4375623383129161E-2</v>
      </c>
      <c r="Z370" s="127">
        <f t="shared" si="1087"/>
        <v>0.41985406725956653</v>
      </c>
    </row>
    <row r="371" spans="1:26" x14ac:dyDescent="0.25">
      <c r="A371" s="133" t="s">
        <v>4</v>
      </c>
      <c r="B371" s="158">
        <f t="shared" ref="B371:F371" si="1105">+B210/B49</f>
        <v>3.2340896298740365</v>
      </c>
      <c r="C371" s="158">
        <f t="shared" si="1105"/>
        <v>3.2635983263598329</v>
      </c>
      <c r="D371" s="158">
        <f t="shared" si="1105"/>
        <v>3.51123595505618</v>
      </c>
      <c r="E371" s="158">
        <f t="shared" si="1105"/>
        <v>0.32819760332599657</v>
      </c>
      <c r="F371" s="158">
        <f t="shared" si="1105"/>
        <v>1.3090465400034861</v>
      </c>
      <c r="G371" s="158">
        <f t="shared" si="1102"/>
        <v>1.1369435781117097</v>
      </c>
      <c r="H371" s="158">
        <f t="shared" ref="H371" si="1106">+H210/H49</f>
        <v>2.7968776399824278</v>
      </c>
      <c r="I371" s="158">
        <f t="shared" si="1089"/>
        <v>3.3119743692430914</v>
      </c>
      <c r="J371" s="180">
        <f t="shared" si="1103"/>
        <v>2.2942779291553133</v>
      </c>
      <c r="K371" s="181">
        <f t="shared" si="1090"/>
        <v>3.1279069767441863</v>
      </c>
      <c r="L371" s="127">
        <f t="shared" ref="L371" si="1107">+K371/J371-1</f>
        <v>0.36335137822460384</v>
      </c>
      <c r="M371" s="2"/>
      <c r="N371" s="133" t="s">
        <v>4</v>
      </c>
      <c r="O371" s="158">
        <f t="shared" ref="O371:U371" si="1108">+O210/O49</f>
        <v>3.0244587391937334</v>
      </c>
      <c r="P371" s="158">
        <f t="shared" si="1108"/>
        <v>3.1811327429517355</v>
      </c>
      <c r="Q371" s="158">
        <f t="shared" si="1108"/>
        <v>3.4255095206200359</v>
      </c>
      <c r="R371" s="158">
        <f t="shared" si="1108"/>
        <v>0.68420228589322063</v>
      </c>
      <c r="S371" s="158">
        <f t="shared" si="1108"/>
        <v>0.66928684850026776</v>
      </c>
      <c r="T371" s="158">
        <f t="shared" si="1108"/>
        <v>1.4351829297997762</v>
      </c>
      <c r="U371" s="158">
        <f t="shared" si="1108"/>
        <v>2.0184163875139913</v>
      </c>
      <c r="V371" s="158">
        <f t="shared" si="1084"/>
        <v>2.7836380520808972</v>
      </c>
      <c r="W371" s="180">
        <f t="shared" si="1101"/>
        <v>3.1546545612835022</v>
      </c>
      <c r="X371" s="181">
        <f t="shared" si="1101"/>
        <v>3.5173748046729667</v>
      </c>
      <c r="Y371" s="147">
        <f t="shared" si="1086"/>
        <v>0.11497938564845223</v>
      </c>
      <c r="Z371" s="127">
        <f t="shared" si="1087"/>
        <v>0.39354587930217666</v>
      </c>
    </row>
    <row r="372" spans="1:26" x14ac:dyDescent="0.25">
      <c r="A372" s="133" t="s">
        <v>5</v>
      </c>
      <c r="B372" s="158">
        <f t="shared" ref="B372:F372" si="1109">+B211/B50</f>
        <v>3.4053803844687693</v>
      </c>
      <c r="C372" s="158">
        <f t="shared" si="1109"/>
        <v>3.3319553534518396</v>
      </c>
      <c r="D372" s="158">
        <f t="shared" si="1109"/>
        <v>2.1595680863827238</v>
      </c>
      <c r="E372" s="158">
        <f t="shared" si="1109"/>
        <v>0.38094148601498601</v>
      </c>
      <c r="F372" s="158">
        <f t="shared" si="1109"/>
        <v>1.2603092783505154</v>
      </c>
      <c r="G372" s="158">
        <f t="shared" si="1102"/>
        <v>3.1978549252046289</v>
      </c>
      <c r="H372" s="158">
        <f t="shared" ref="H372" si="1110">+H211/H50</f>
        <v>2.8849940386265929</v>
      </c>
      <c r="I372" s="158">
        <f t="shared" si="1089"/>
        <v>2.2775919732441472</v>
      </c>
      <c r="J372" s="180">
        <f t="shared" si="1103"/>
        <v>3.0630630630630629</v>
      </c>
      <c r="K372" s="181"/>
      <c r="L372" s="127"/>
      <c r="M372" s="2"/>
      <c r="N372" s="133" t="s">
        <v>5</v>
      </c>
      <c r="O372" s="158">
        <f t="shared" ref="O372:U372" si="1111">+O211/O50</f>
        <v>3.0400120142190095</v>
      </c>
      <c r="P372" s="158">
        <f t="shared" si="1111"/>
        <v>3.1790889872566876</v>
      </c>
      <c r="Q372" s="158">
        <f t="shared" si="1111"/>
        <v>3.1655595298926937</v>
      </c>
      <c r="R372" s="158">
        <f t="shared" si="1111"/>
        <v>0.58945716740762877</v>
      </c>
      <c r="S372" s="158">
        <f t="shared" si="1111"/>
        <v>0.76162433821836883</v>
      </c>
      <c r="T372" s="158">
        <f t="shared" si="1111"/>
        <v>1.5677079701554981</v>
      </c>
      <c r="U372" s="158">
        <f t="shared" si="1111"/>
        <v>1.9712637137800033</v>
      </c>
      <c r="V372" s="158">
        <f t="shared" si="1084"/>
        <v>2.7075967168748161</v>
      </c>
      <c r="W372" s="180">
        <f t="shared" si="1101"/>
        <v>3.330072666294019</v>
      </c>
      <c r="X372" s="181"/>
      <c r="Y372" s="147"/>
      <c r="Z372" s="127"/>
    </row>
    <row r="373" spans="1:26" x14ac:dyDescent="0.25">
      <c r="A373" s="133" t="s">
        <v>6</v>
      </c>
      <c r="B373" s="158">
        <f t="shared" ref="B373:F373" si="1112">+B212/B51</f>
        <v>3.2491201316664267</v>
      </c>
      <c r="C373" s="158">
        <f t="shared" si="1112"/>
        <v>3.3273782938811971</v>
      </c>
      <c r="D373" s="158">
        <f t="shared" si="1112"/>
        <v>2.4310872894333846</v>
      </c>
      <c r="E373" s="158">
        <f t="shared" si="1112"/>
        <v>0.35516093229744727</v>
      </c>
      <c r="F373" s="158">
        <f t="shared" si="1112"/>
        <v>2.0245120290512939</v>
      </c>
      <c r="G373" s="158">
        <f t="shared" si="1102"/>
        <v>3.5573122529644272</v>
      </c>
      <c r="H373" s="158">
        <f t="shared" ref="H373" si="1113">+H212/H51</f>
        <v>2.4120964783565659</v>
      </c>
      <c r="I373" s="158">
        <f t="shared" si="1089"/>
        <v>3.2243296272073247</v>
      </c>
      <c r="J373" s="180">
        <f t="shared" si="1103"/>
        <v>2.204724409448819</v>
      </c>
      <c r="K373" s="181"/>
      <c r="L373" s="127"/>
      <c r="M373" s="2"/>
      <c r="N373" s="133" t="s">
        <v>6</v>
      </c>
      <c r="O373" s="158">
        <f t="shared" ref="O373:U373" si="1114">+O212/O51</f>
        <v>3.0570049499405747</v>
      </c>
      <c r="P373" s="158">
        <f t="shared" si="1114"/>
        <v>3.1869554903400426</v>
      </c>
      <c r="Q373" s="158">
        <f t="shared" si="1114"/>
        <v>3.0699585027455254</v>
      </c>
      <c r="R373" s="158">
        <f t="shared" si="1114"/>
        <v>0.53323628973008608</v>
      </c>
      <c r="S373" s="158">
        <f t="shared" si="1114"/>
        <v>0.88282725401574491</v>
      </c>
      <c r="T373" s="158">
        <f t="shared" si="1114"/>
        <v>1.6396399614244384</v>
      </c>
      <c r="U373" s="158">
        <f t="shared" si="1114"/>
        <v>1.8759757198135723</v>
      </c>
      <c r="V373" s="158">
        <f t="shared" si="1084"/>
        <v>2.7708512192874197</v>
      </c>
      <c r="W373" s="180">
        <f t="shared" si="1101"/>
        <v>3.2037634777831183</v>
      </c>
      <c r="X373" s="181"/>
      <c r="Y373" s="147"/>
      <c r="Z373" s="127"/>
    </row>
    <row r="374" spans="1:26" x14ac:dyDescent="0.25">
      <c r="A374" s="133" t="s">
        <v>7</v>
      </c>
      <c r="B374" s="158">
        <f t="shared" ref="B374:F374" si="1115">+B213/B52</f>
        <v>2.9419575964756439</v>
      </c>
      <c r="C374" s="158">
        <f t="shared" si="1115"/>
        <v>3.4852408078715693</v>
      </c>
      <c r="D374" s="158">
        <f t="shared" si="1115"/>
        <v>1.7039902280130292</v>
      </c>
      <c r="E374" s="158">
        <f t="shared" si="1115"/>
        <v>0.43910784437967298</v>
      </c>
      <c r="F374" s="158">
        <f t="shared" si="1115"/>
        <v>1.3438560259625314</v>
      </c>
      <c r="G374" s="158">
        <f t="shared" si="1102"/>
        <v>1.36992515309594</v>
      </c>
      <c r="H374" s="158">
        <f t="shared" ref="H374:H376" si="1116">+H213/H52</f>
        <v>2.3590110671606062</v>
      </c>
      <c r="I374" s="158">
        <f t="shared" si="1089"/>
        <v>3.0037546933667083</v>
      </c>
      <c r="J374" s="180">
        <f t="shared" si="1103"/>
        <v>4.557501183151917</v>
      </c>
      <c r="K374" s="181"/>
      <c r="L374" s="127"/>
      <c r="M374" s="2"/>
      <c r="N374" s="133" t="s">
        <v>7</v>
      </c>
      <c r="O374" s="158">
        <f t="shared" ref="O374:U374" si="1117">+O213/O52</f>
        <v>3.0177022918400702</v>
      </c>
      <c r="P374" s="158">
        <f t="shared" si="1117"/>
        <v>3.2514090363115589</v>
      </c>
      <c r="Q374" s="158">
        <f t="shared" si="1117"/>
        <v>2.7900737759892689</v>
      </c>
      <c r="R374" s="158">
        <f t="shared" si="1117"/>
        <v>0.48700074756084311</v>
      </c>
      <c r="S374" s="158">
        <f t="shared" si="1117"/>
        <v>1.0016304794078661</v>
      </c>
      <c r="T374" s="158">
        <f t="shared" si="1117"/>
        <v>1.6548560346113683</v>
      </c>
      <c r="U374" s="158">
        <f t="shared" si="1117"/>
        <v>1.9616172138567904</v>
      </c>
      <c r="V374" s="158">
        <f t="shared" si="1084"/>
        <v>2.8277197740113</v>
      </c>
      <c r="W374" s="180">
        <f t="shared" si="1101"/>
        <v>3.4146988591138228</v>
      </c>
      <c r="X374" s="181"/>
      <c r="Y374" s="147"/>
      <c r="Z374" s="127"/>
    </row>
    <row r="375" spans="1:26" x14ac:dyDescent="0.25">
      <c r="A375" s="133" t="s">
        <v>8</v>
      </c>
      <c r="B375" s="158">
        <f t="shared" ref="B375:F375" si="1118">+B214/B53</f>
        <v>3.8178294573643412</v>
      </c>
      <c r="C375" s="158">
        <f t="shared" si="1118"/>
        <v>3.7310606060606064</v>
      </c>
      <c r="D375" s="158">
        <f t="shared" si="1118"/>
        <v>2.4572457245724575</v>
      </c>
      <c r="E375" s="158">
        <f t="shared" si="1118"/>
        <v>0.41383876841582523</v>
      </c>
      <c r="F375" s="158">
        <f t="shared" si="1118"/>
        <v>1.620213597290961</v>
      </c>
      <c r="G375" s="158">
        <f t="shared" si="1102"/>
        <v>1.6591659165916595</v>
      </c>
      <c r="H375" s="158">
        <f t="shared" si="1116"/>
        <v>3.0404217926186288</v>
      </c>
      <c r="I375" s="158">
        <f t="shared" si="1089"/>
        <v>3.2125834127740709</v>
      </c>
      <c r="J375" s="180">
        <f t="shared" si="1103"/>
        <v>3.5916542473919519</v>
      </c>
      <c r="K375" s="181"/>
      <c r="L375" s="127"/>
      <c r="M375" s="2"/>
      <c r="N375" s="133" t="s">
        <v>8</v>
      </c>
      <c r="O375" s="158">
        <f t="shared" ref="O375:U375" si="1119">+O214/O53</f>
        <v>3.0581873664709947</v>
      </c>
      <c r="P375" s="158">
        <f t="shared" si="1119"/>
        <v>3.2478080295339185</v>
      </c>
      <c r="Q375" s="158">
        <f t="shared" si="1119"/>
        <v>2.7281816883302388</v>
      </c>
      <c r="R375" s="158">
        <f t="shared" si="1119"/>
        <v>0.45537329670792032</v>
      </c>
      <c r="S375" s="158">
        <f t="shared" si="1119"/>
        <v>1.1246883440681488</v>
      </c>
      <c r="T375" s="158">
        <f t="shared" si="1119"/>
        <v>1.6576301818592571</v>
      </c>
      <c r="U375" s="158">
        <f t="shared" si="1119"/>
        <v>2.0548959046763113</v>
      </c>
      <c r="V375" s="158">
        <f t="shared" si="1084"/>
        <v>2.823873097904106</v>
      </c>
      <c r="W375" s="180">
        <f t="shared" si="1101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120">+B215/B54</f>
        <v>3.2098765432098766</v>
      </c>
      <c r="C376" s="158">
        <f t="shared" si="1120"/>
        <v>3.59375</v>
      </c>
      <c r="D376" s="158">
        <f t="shared" si="1120"/>
        <v>1.2046524508446415</v>
      </c>
      <c r="E376" s="158">
        <f t="shared" si="1120"/>
        <v>0.45641098216812909</v>
      </c>
      <c r="F376" s="158">
        <f t="shared" si="1120"/>
        <v>0.99503983165489263</v>
      </c>
      <c r="G376" s="158">
        <f t="shared" si="1102"/>
        <v>1.3593560145808019</v>
      </c>
      <c r="H376" s="158">
        <f t="shared" si="1116"/>
        <v>1.8562644119907763</v>
      </c>
      <c r="I376" s="158">
        <f t="shared" si="1089"/>
        <v>3.6830835117773018</v>
      </c>
      <c r="J376" s="180">
        <f t="shared" si="1103"/>
        <v>3.0714285714285712</v>
      </c>
      <c r="K376" s="181"/>
      <c r="L376" s="127"/>
      <c r="M376" s="2"/>
      <c r="N376" s="133" t="s">
        <v>9</v>
      </c>
      <c r="O376" s="158">
        <f t="shared" ref="O376:U376" si="1121">+O215/O54</f>
        <v>3.0469526104621854</v>
      </c>
      <c r="P376" s="158">
        <f t="shared" si="1121"/>
        <v>3.2738664625980487</v>
      </c>
      <c r="Q376" s="158">
        <f t="shared" si="1121"/>
        <v>2.3691045392833954</v>
      </c>
      <c r="R376" s="158">
        <f t="shared" si="1121"/>
        <v>0.42422913336295787</v>
      </c>
      <c r="S376" s="158">
        <f t="shared" si="1121"/>
        <v>1.2481122984653887</v>
      </c>
      <c r="T376" s="158">
        <f t="shared" si="1121"/>
        <v>1.7037078927029727</v>
      </c>
      <c r="U376" s="158">
        <f t="shared" si="1121"/>
        <v>2.1774555318872295</v>
      </c>
      <c r="V376" s="158">
        <f t="shared" si="1084"/>
        <v>2.9965314612584515</v>
      </c>
      <c r="W376" s="180">
        <f t="shared" si="1101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122">+B216/B55</f>
        <v>3.0469526104621854</v>
      </c>
      <c r="C377" s="182">
        <f t="shared" si="1122"/>
        <v>3.2738664625980487</v>
      </c>
      <c r="D377" s="182">
        <f t="shared" si="1122"/>
        <v>2.3691045392833954</v>
      </c>
      <c r="E377" s="182">
        <f t="shared" si="1122"/>
        <v>0.42422913336295787</v>
      </c>
      <c r="F377" s="182">
        <f t="shared" si="1122"/>
        <v>1.2481122984653887</v>
      </c>
      <c r="G377" s="182">
        <f t="shared" si="1102"/>
        <v>1.7037078927029727</v>
      </c>
      <c r="H377" s="182">
        <f t="shared" ref="H377:I377" si="1123">+H216/H55</f>
        <v>2.1774555318872295</v>
      </c>
      <c r="I377" s="182">
        <f t="shared" si="1123"/>
        <v>2.9965314612584515</v>
      </c>
      <c r="J377" s="183">
        <f t="shared" ref="J377" si="1124">+J216/J55</f>
        <v>3.4265946470838129</v>
      </c>
      <c r="K377" s="183"/>
      <c r="L377" s="137"/>
      <c r="M377" s="3"/>
      <c r="N377" s="134" t="s">
        <v>14</v>
      </c>
      <c r="O377" s="182">
        <f t="shared" ref="O377:W377" si="1125">+O216/O55</f>
        <v>3.0688475624774196</v>
      </c>
      <c r="P377" s="182">
        <f t="shared" si="1125"/>
        <v>3.1643425577358069</v>
      </c>
      <c r="Q377" s="182">
        <f t="shared" si="1125"/>
        <v>3.0996315212906711</v>
      </c>
      <c r="R377" s="182">
        <f t="shared" si="1125"/>
        <v>0.70502376077855633</v>
      </c>
      <c r="S377" s="182">
        <f t="shared" si="1125"/>
        <v>0.66756017768427967</v>
      </c>
      <c r="T377" s="182">
        <f t="shared" si="1125"/>
        <v>1.4346031150309626</v>
      </c>
      <c r="U377" s="182">
        <f t="shared" si="1125"/>
        <v>1.9389093288929831</v>
      </c>
      <c r="V377" s="182">
        <f t="shared" si="1125"/>
        <v>2.56678038501162</v>
      </c>
      <c r="W377" s="183">
        <f t="shared" si="1125"/>
        <v>3.2381718897673228</v>
      </c>
      <c r="X377" s="183">
        <f t="shared" ref="X377" si="1126">+X216/X55</f>
        <v>3.4569253890531821</v>
      </c>
      <c r="Y377" s="149">
        <f>+X377/W377-1</f>
        <v>6.7554628578280207E-2</v>
      </c>
      <c r="Z377" s="156">
        <f>+POWER(X377/S377,0.2)-1</f>
        <v>0.3894403823001471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127">+C377/C$485</f>
        <v>0.86792426481190432</v>
      </c>
      <c r="D378" s="138">
        <f t="shared" ref="D378" si="1128">+D377/D$485</f>
        <v>0.622735049790478</v>
      </c>
      <c r="E378" s="138">
        <f t="shared" ref="E378" si="1129">+E377/E$485</f>
        <v>0.12475513876275064</v>
      </c>
      <c r="F378" s="138">
        <f t="shared" ref="F378:G378" si="1130">+F377/F$485</f>
        <v>0.45392151835750205</v>
      </c>
      <c r="G378" s="138">
        <f t="shared" si="1130"/>
        <v>0.55699387103879106</v>
      </c>
      <c r="H378" s="138">
        <f t="shared" ref="H378:I378" si="1131">+H377/H$485</f>
        <v>0.67029713948569791</v>
      </c>
      <c r="I378" s="138">
        <f t="shared" si="1131"/>
        <v>0.84775952158229984</v>
      </c>
      <c r="J378" s="139">
        <f t="shared" ref="J378" si="1132">+J377/J$485</f>
        <v>0.96509145781548866</v>
      </c>
      <c r="K378" s="139"/>
      <c r="L378" s="140"/>
      <c r="M378" s="3"/>
      <c r="N378" s="135" t="s">
        <v>15</v>
      </c>
      <c r="O378" s="138">
        <f t="shared" ref="O378" si="1133">+O377/O$485</f>
        <v>0.90016219950876475</v>
      </c>
      <c r="P378" s="138">
        <f t="shared" ref="P378" si="1134">+P377/P$485</f>
        <v>0.87513465268907631</v>
      </c>
      <c r="Q378" s="138">
        <f t="shared" ref="Q378" si="1135">+Q377/Q$485</f>
        <v>0.80319773794946614</v>
      </c>
      <c r="R378" s="138">
        <f t="shared" ref="R378" si="1136">+R377/R$485</f>
        <v>0.19639046146955266</v>
      </c>
      <c r="S378" s="138">
        <f t="shared" ref="S378:W378" si="1137">+S377/S$485</f>
        <v>0.22237580521610706</v>
      </c>
      <c r="T378" s="138">
        <f t="shared" si="1137"/>
        <v>0.49510762791393192</v>
      </c>
      <c r="U378" s="138">
        <f t="shared" si="1137"/>
        <v>0.61620218080198175</v>
      </c>
      <c r="V378" s="138">
        <f t="shared" si="1137"/>
        <v>0.75390869568152052</v>
      </c>
      <c r="W378" s="139">
        <f t="shared" si="1137"/>
        <v>0.91360057364433345</v>
      </c>
      <c r="X378" s="139">
        <f t="shared" ref="X378" si="1138">+X377/X$485</f>
        <v>0.96690737527093917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39">+D377/C377-1</f>
        <v>-0.27635883553926621</v>
      </c>
      <c r="E379" s="142">
        <f t="shared" ref="E379" si="1140">+E377/D377-1</f>
        <v>-0.82093270840159782</v>
      </c>
      <c r="F379" s="142">
        <f t="shared" ref="F379:J379" si="1141">+F377/E377-1</f>
        <v>1.942071159920884</v>
      </c>
      <c r="G379" s="142">
        <f t="shared" si="1141"/>
        <v>0.36502772610906864</v>
      </c>
      <c r="H379" s="142">
        <f t="shared" si="1141"/>
        <v>0.27806858277368485</v>
      </c>
      <c r="I379" s="142">
        <f t="shared" si="1141"/>
        <v>0.37616195480296133</v>
      </c>
      <c r="J379" s="143">
        <f t="shared" si="1141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142">+Q377/P377-1</f>
        <v>-2.0450073045011452E-2</v>
      </c>
      <c r="R379" s="142">
        <f t="shared" ref="R379" si="1143">+R377/Q377-1</f>
        <v>-0.77254594427243795</v>
      </c>
      <c r="S379" s="142">
        <f t="shared" ref="S379" si="1144">+S377/R377-1</f>
        <v>-5.3138043252479505E-2</v>
      </c>
      <c r="T379" s="142">
        <f t="shared" ref="T379" si="1145">+T377/S377-1</f>
        <v>1.1490244070691906</v>
      </c>
      <c r="U379" s="142">
        <f t="shared" ref="U379" si="1146">+U377/T377-1</f>
        <v>0.35153012605241418</v>
      </c>
      <c r="V379" s="142">
        <f t="shared" ref="V379" si="1147">+V377/U377-1</f>
        <v>0.32382693030680243</v>
      </c>
      <c r="W379" s="143">
        <f t="shared" ref="W379:X379" si="1148">+W377/V377-1</f>
        <v>0.26156951668954864</v>
      </c>
      <c r="X379" s="143">
        <f t="shared" si="1148"/>
        <v>6.7554628578280207E-2</v>
      </c>
      <c r="Y379" s="144"/>
      <c r="Z379" s="145"/>
    </row>
    <row r="380" spans="1:26" ht="15.75" thickBot="1" x14ac:dyDescent="0.3"/>
    <row r="381" spans="1:26" ht="15.75" thickBot="1" x14ac:dyDescent="0.3">
      <c r="A381" s="373" t="s">
        <v>88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89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149">+C382+1</f>
        <v>2018</v>
      </c>
      <c r="E382" s="129">
        <f t="shared" ref="E382" si="1150">+D382+1</f>
        <v>2019</v>
      </c>
      <c r="F382" s="129">
        <f t="shared" ref="F382" si="1151">+E382+1</f>
        <v>2020</v>
      </c>
      <c r="G382" s="129">
        <f t="shared" ref="G382" si="1152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153">+P382+1</f>
        <v>2018</v>
      </c>
      <c r="R382" s="129">
        <f t="shared" ref="R382" si="1154">+Q382+1</f>
        <v>2019</v>
      </c>
      <c r="S382" s="129">
        <f t="shared" ref="S382" si="1155">+R382+1</f>
        <v>2020</v>
      </c>
      <c r="T382" s="129">
        <f t="shared" ref="T382" si="1156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157">+C222/C61</f>
        <v>1.8704455884087225</v>
      </c>
      <c r="D383" s="158">
        <f t="shared" si="1157"/>
        <v>3.1383302864107252</v>
      </c>
      <c r="E383" s="158">
        <f t="shared" si="1157"/>
        <v>1.2227262907755454</v>
      </c>
      <c r="F383" s="158">
        <f t="shared" si="1157"/>
        <v>0.92608223803207523</v>
      </c>
      <c r="G383" s="158">
        <f t="shared" si="1157"/>
        <v>0.98551057957681687</v>
      </c>
      <c r="H383" s="158">
        <f t="shared" si="1157"/>
        <v>1.5465631929046564</v>
      </c>
      <c r="I383" s="158">
        <f t="shared" ref="I383:J383" si="1158">+I222/I61</f>
        <v>2.9653679653679652</v>
      </c>
      <c r="J383" s="180">
        <f t="shared" si="1158"/>
        <v>2.5976768743400207</v>
      </c>
      <c r="K383" s="181">
        <f t="shared" ref="K383" si="1159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160">+P222/P61</f>
        <v>2.3253905741284751</v>
      </c>
      <c r="Q383" s="158">
        <f t="shared" si="1160"/>
        <v>2.1549901920995675</v>
      </c>
      <c r="R383" s="158">
        <f t="shared" si="1160"/>
        <v>2.1234255049563986</v>
      </c>
      <c r="S383" s="158">
        <f t="shared" si="1160"/>
        <v>1.259547200753147</v>
      </c>
      <c r="T383" s="158">
        <f t="shared" si="1160"/>
        <v>1.0328721979207414</v>
      </c>
      <c r="U383" s="158">
        <f t="shared" si="1160"/>
        <v>1.4017993802964124</v>
      </c>
      <c r="V383" s="158">
        <f t="shared" si="1160"/>
        <v>2.944722123956331</v>
      </c>
      <c r="W383" s="180">
        <f t="shared" si="1160"/>
        <v>2.8254463340625215</v>
      </c>
      <c r="X383" s="181">
        <f t="shared" ref="X383" si="1161">+X222/X61</f>
        <v>2.8367421033522935</v>
      </c>
      <c r="Y383" s="147">
        <f t="shared" ref="Y383:Y389" si="1162">+X383/W383-1</f>
        <v>3.9978707624328536E-3</v>
      </c>
      <c r="Z383" s="127">
        <f t="shared" ref="Z383:Z389" si="1163">+POWER(X383/S383,0.2)-1</f>
        <v>0.17630808360221728</v>
      </c>
    </row>
    <row r="384" spans="1:26" x14ac:dyDescent="0.25">
      <c r="A384" s="133" t="s">
        <v>11</v>
      </c>
      <c r="B384" s="158">
        <f t="shared" ref="B384:G384" si="1164">+B223/B62</f>
        <v>1.7696484189857136</v>
      </c>
      <c r="C384" s="158">
        <f t="shared" si="1164"/>
        <v>1.3647674182409102</v>
      </c>
      <c r="D384" s="158">
        <f t="shared" si="1164"/>
        <v>3.2408630559225009</v>
      </c>
      <c r="E384" s="158">
        <f t="shared" si="1164"/>
        <v>1.2663299076815884</v>
      </c>
      <c r="F384" s="158">
        <f t="shared" si="1164"/>
        <v>1.1006969478490747</v>
      </c>
      <c r="G384" s="158">
        <f t="shared" si="1164"/>
        <v>1.1226558540293969</v>
      </c>
      <c r="H384" s="158">
        <f t="shared" si="1157"/>
        <v>1.9817898022892817</v>
      </c>
      <c r="I384" s="158">
        <f t="shared" ref="I384:J394" si="1165">+I223/I62</f>
        <v>2.60952380952381</v>
      </c>
      <c r="J384" s="180">
        <f t="shared" si="1165"/>
        <v>3.2285368802902057</v>
      </c>
      <c r="K384" s="181">
        <f t="shared" ref="K384:K389" si="1166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167">+O223/O62</f>
        <v>2.492784748018682</v>
      </c>
      <c r="P384" s="158">
        <f t="shared" si="1167"/>
        <v>2.2773756951618518</v>
      </c>
      <c r="Q384" s="158">
        <f t="shared" si="1167"/>
        <v>2.3301902465983804</v>
      </c>
      <c r="R384" s="158">
        <f t="shared" si="1167"/>
        <v>1.9528373093021658</v>
      </c>
      <c r="S384" s="158">
        <f t="shared" si="1167"/>
        <v>1.2486581514383059</v>
      </c>
      <c r="T384" s="158">
        <f t="shared" si="1167"/>
        <v>1.0337286967269614</v>
      </c>
      <c r="U384" s="158">
        <f t="shared" si="1167"/>
        <v>1.4447914645974782</v>
      </c>
      <c r="V384" s="158">
        <f t="shared" si="1160"/>
        <v>3.0215472589612804</v>
      </c>
      <c r="W384" s="180">
        <f t="shared" si="1160"/>
        <v>2.8859153976311331</v>
      </c>
      <c r="X384" s="181">
        <f t="shared" ref="X384:X386" si="1168">+X223/X62</f>
        <v>2.892535800278798</v>
      </c>
      <c r="Y384" s="147">
        <f t="shared" si="1162"/>
        <v>2.2940390605694638E-3</v>
      </c>
      <c r="Z384" s="127">
        <f t="shared" si="1163"/>
        <v>0.18295176678152214</v>
      </c>
    </row>
    <row r="385" spans="1:26" x14ac:dyDescent="0.25">
      <c r="A385" s="133" t="s">
        <v>0</v>
      </c>
      <c r="B385" s="158">
        <f t="shared" ref="B385:G385" si="1169">+B224/B63</f>
        <v>2.5642319286606208</v>
      </c>
      <c r="C385" s="158">
        <f t="shared" si="1169"/>
        <v>1.4429322805645597</v>
      </c>
      <c r="D385" s="158">
        <f t="shared" si="1169"/>
        <v>3.0158730158730158</v>
      </c>
      <c r="E385" s="158">
        <f t="shared" si="1169"/>
        <v>1.5658451580781678</v>
      </c>
      <c r="F385" s="158">
        <f t="shared" si="1169"/>
        <v>0.84652952493710221</v>
      </c>
      <c r="G385" s="158">
        <f t="shared" si="1169"/>
        <v>1.0245656081485921</v>
      </c>
      <c r="H385" s="158">
        <f t="shared" si="1157"/>
        <v>3.0186322473196623</v>
      </c>
      <c r="I385" s="158">
        <f t="shared" si="1165"/>
        <v>2.9</v>
      </c>
      <c r="J385" s="180">
        <f t="shared" si="1165"/>
        <v>3.2716049382716048</v>
      </c>
      <c r="K385" s="181">
        <f t="shared" si="1166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170">+O224/O63</f>
        <v>2.467561470806841</v>
      </c>
      <c r="P385" s="158">
        <f t="shared" si="1170"/>
        <v>2.1658386494306598</v>
      </c>
      <c r="Q385" s="158">
        <f t="shared" si="1170"/>
        <v>2.4705277142764688</v>
      </c>
      <c r="R385" s="158">
        <f t="shared" si="1170"/>
        <v>1.8813449023861171</v>
      </c>
      <c r="S385" s="158">
        <f t="shared" si="1170"/>
        <v>1.1891012728113761</v>
      </c>
      <c r="T385" s="158">
        <f t="shared" si="1170"/>
        <v>1.0480484410130742</v>
      </c>
      <c r="U385" s="158">
        <f t="shared" si="1170"/>
        <v>1.5389868374833913</v>
      </c>
      <c r="V385" s="158">
        <f t="shared" si="1160"/>
        <v>3.012034140489793</v>
      </c>
      <c r="W385" s="180">
        <f t="shared" si="1160"/>
        <v>2.906642831605291</v>
      </c>
      <c r="X385" s="181">
        <f t="shared" si="1168"/>
        <v>2.8674171357098186</v>
      </c>
      <c r="Y385" s="147">
        <f t="shared" si="1162"/>
        <v>-1.3495189525507878E-2</v>
      </c>
      <c r="Z385" s="127">
        <f t="shared" si="1163"/>
        <v>0.19248906818677747</v>
      </c>
    </row>
    <row r="386" spans="1:26" x14ac:dyDescent="0.25">
      <c r="A386" s="133" t="s">
        <v>1</v>
      </c>
      <c r="B386" s="158">
        <f t="shared" ref="B386:H386" si="1171">+B225/B64</f>
        <v>2.0212838393753869</v>
      </c>
      <c r="C386" s="158">
        <f t="shared" si="1171"/>
        <v>2.0966085441763083</v>
      </c>
      <c r="D386" s="158">
        <f t="shared" si="1171"/>
        <v>3.4747474747474745</v>
      </c>
      <c r="E386" s="158">
        <f t="shared" si="1171"/>
        <v>1.2690617730679761</v>
      </c>
      <c r="F386" s="158">
        <f t="shared" si="1171"/>
        <v>0.94521887992174136</v>
      </c>
      <c r="G386" s="158">
        <f t="shared" si="1171"/>
        <v>1.081363458273475</v>
      </c>
      <c r="H386" s="158">
        <f t="shared" si="1171"/>
        <v>7.0001865555624665</v>
      </c>
      <c r="I386" s="158">
        <f t="shared" si="1165"/>
        <v>3.2405186385737443</v>
      </c>
      <c r="J386" s="180">
        <f t="shared" si="1165"/>
        <v>2.788844621513944</v>
      </c>
      <c r="K386" s="181">
        <f t="shared" si="1166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172">+O225/O64</f>
        <v>2.4781663375854612</v>
      </c>
      <c r="P386" s="158">
        <f t="shared" si="1172"/>
        <v>2.1725007609360882</v>
      </c>
      <c r="Q386" s="158">
        <f t="shared" si="1172"/>
        <v>2.5754201871954217</v>
      </c>
      <c r="R386" s="158">
        <f t="shared" si="1172"/>
        <v>1.7291449728103665</v>
      </c>
      <c r="S386" s="158">
        <f t="shared" si="1172"/>
        <v>1.1503624531182828</v>
      </c>
      <c r="T386" s="158">
        <f t="shared" si="1172"/>
        <v>1.0611683026095282</v>
      </c>
      <c r="U386" s="158">
        <f t="shared" si="1172"/>
        <v>1.8477949419139492</v>
      </c>
      <c r="V386" s="158">
        <f t="shared" si="1160"/>
        <v>2.7019668349144177</v>
      </c>
      <c r="W386" s="180">
        <f t="shared" si="1160"/>
        <v>2.8666714265314859</v>
      </c>
      <c r="X386" s="181">
        <f t="shared" si="1168"/>
        <v>2.9061573921633195</v>
      </c>
      <c r="Y386" s="147">
        <f t="shared" si="1162"/>
        <v>1.3774151186768391E-2</v>
      </c>
      <c r="Z386" s="127">
        <f t="shared" si="1163"/>
        <v>0.20364076098282702</v>
      </c>
    </row>
    <row r="387" spans="1:26" x14ac:dyDescent="0.25">
      <c r="A387" s="133" t="s">
        <v>2</v>
      </c>
      <c r="B387" s="158">
        <f t="shared" ref="B387:H387" si="1173">+B226/B65</f>
        <v>2.7811194021791956</v>
      </c>
      <c r="C387" s="158">
        <f t="shared" si="1173"/>
        <v>1.482133408204918</v>
      </c>
      <c r="D387" s="158">
        <f t="shared" si="1173"/>
        <v>3.1439602868174297</v>
      </c>
      <c r="E387" s="158">
        <f t="shared" si="1173"/>
        <v>1.2917665867306156</v>
      </c>
      <c r="F387" s="158">
        <f t="shared" si="1173"/>
        <v>0.87497695002765996</v>
      </c>
      <c r="G387" s="158">
        <f t="shared" si="1173"/>
        <v>1.2439306358381503</v>
      </c>
      <c r="H387" s="158">
        <f t="shared" si="1173"/>
        <v>4.2427368865336357</v>
      </c>
      <c r="I387" s="158">
        <f t="shared" si="1165"/>
        <v>2.538307794803464</v>
      </c>
      <c r="J387" s="180">
        <f t="shared" ref="J387" si="1174">+J226/J65</f>
        <v>2.5559845559845562</v>
      </c>
      <c r="K387" s="181">
        <f t="shared" si="1166"/>
        <v>3.7895927601809953</v>
      </c>
      <c r="L387" s="127">
        <f t="shared" ref="L387:L388" si="1175">+K387/J387-1</f>
        <v>0.48263523396809327</v>
      </c>
      <c r="M387" s="2"/>
      <c r="N387" s="133" t="s">
        <v>2</v>
      </c>
      <c r="O387" s="158">
        <f t="shared" ref="O387:U387" si="1176">+O226/O65</f>
        <v>2.46606580358335</v>
      </c>
      <c r="P387" s="158">
        <f t="shared" si="1176"/>
        <v>2.0517647318606764</v>
      </c>
      <c r="Q387" s="158">
        <f t="shared" si="1176"/>
        <v>2.746882799329732</v>
      </c>
      <c r="R387" s="158">
        <f t="shared" si="1176"/>
        <v>1.6349911190053283</v>
      </c>
      <c r="S387" s="158">
        <f t="shared" si="1176"/>
        <v>1.0966300244281588</v>
      </c>
      <c r="T387" s="158">
        <f t="shared" si="1176"/>
        <v>1.0976512289175397</v>
      </c>
      <c r="U387" s="158">
        <f t="shared" si="1176"/>
        <v>1.9759683249370621</v>
      </c>
      <c r="V387" s="158">
        <f t="shared" si="1160"/>
        <v>2.6255883837753222</v>
      </c>
      <c r="W387" s="180">
        <f t="shared" ref="W387:X394" si="1177">+W226/W65</f>
        <v>2.8732318840579705</v>
      </c>
      <c r="X387" s="181">
        <f t="shared" si="1177"/>
        <v>2.9897116556112087</v>
      </c>
      <c r="Y387" s="147">
        <f t="shared" si="1162"/>
        <v>4.0539634896689769E-2</v>
      </c>
      <c r="Z387" s="127">
        <f t="shared" si="1163"/>
        <v>0.22211995241613969</v>
      </c>
    </row>
    <row r="388" spans="1:26" x14ac:dyDescent="0.25">
      <c r="A388" s="133" t="s">
        <v>3</v>
      </c>
      <c r="B388" s="158">
        <f t="shared" ref="B388:H395" si="1178">+B227/B66</f>
        <v>2.1924025135470795</v>
      </c>
      <c r="C388" s="158">
        <f t="shared" si="1178"/>
        <v>2.3757592234449434</v>
      </c>
      <c r="D388" s="158">
        <f t="shared" si="1178"/>
        <v>3.137472283813747</v>
      </c>
      <c r="E388" s="158">
        <f t="shared" si="1178"/>
        <v>2.0777160983346552</v>
      </c>
      <c r="F388" s="158">
        <f t="shared" si="1178"/>
        <v>1.8166139695314747</v>
      </c>
      <c r="G388" s="158">
        <f t="shared" si="1178"/>
        <v>1.4568200161420501</v>
      </c>
      <c r="H388" s="158">
        <f t="shared" si="1178"/>
        <v>2.7078353565474655</v>
      </c>
      <c r="I388" s="158">
        <f t="shared" si="1165"/>
        <v>2.3951690821256038</v>
      </c>
      <c r="J388" s="180">
        <f t="shared" ref="J388:J394" si="1179">+J227/J66</f>
        <v>2.7379949452401013</v>
      </c>
      <c r="K388" s="181">
        <f t="shared" si="1166"/>
        <v>2.172538392050587</v>
      </c>
      <c r="L388" s="127">
        <f t="shared" si="1175"/>
        <v>-0.20652213188798574</v>
      </c>
      <c r="M388" s="2"/>
      <c r="N388" s="133" t="s">
        <v>3</v>
      </c>
      <c r="O388" s="158">
        <f t="shared" ref="O388:U388" si="1180">+O227/O66</f>
        <v>2.4744261431242709</v>
      </c>
      <c r="P388" s="158">
        <f t="shared" si="1180"/>
        <v>2.06665724854042</v>
      </c>
      <c r="Q388" s="158">
        <f t="shared" si="1180"/>
        <v>2.8144748270122903</v>
      </c>
      <c r="R388" s="158">
        <f t="shared" si="1180"/>
        <v>1.6070363744782348</v>
      </c>
      <c r="S388" s="158">
        <f t="shared" si="1180"/>
        <v>1.0970481473871652</v>
      </c>
      <c r="T388" s="158">
        <f t="shared" si="1180"/>
        <v>1.0884631064003258</v>
      </c>
      <c r="U388" s="158">
        <f t="shared" si="1180"/>
        <v>2.0993400760111549</v>
      </c>
      <c r="V388" s="158">
        <f t="shared" si="1160"/>
        <v>2.5998048831882454</v>
      </c>
      <c r="W388" s="180">
        <f t="shared" si="1177"/>
        <v>2.9125424730388536</v>
      </c>
      <c r="X388" s="181">
        <f t="shared" si="1177"/>
        <v>2.8941206252768801</v>
      </c>
      <c r="Y388" s="147">
        <f t="shared" si="1162"/>
        <v>-6.3250057063555243E-3</v>
      </c>
      <c r="Z388" s="127">
        <f t="shared" si="1163"/>
        <v>0.21411042437523853</v>
      </c>
    </row>
    <row r="389" spans="1:26" x14ac:dyDescent="0.25">
      <c r="A389" s="133" t="s">
        <v>4</v>
      </c>
      <c r="B389" s="158">
        <f t="shared" ref="B389:F389" si="1181">+B228/B67</f>
        <v>2.1386205248194829</v>
      </c>
      <c r="C389" s="158">
        <f t="shared" si="1181"/>
        <v>2.4750295619795204</v>
      </c>
      <c r="D389" s="158">
        <f t="shared" si="1181"/>
        <v>1.4717706694633803</v>
      </c>
      <c r="E389" s="158">
        <f t="shared" si="1181"/>
        <v>1.556448666423091</v>
      </c>
      <c r="F389" s="158">
        <f t="shared" si="1181"/>
        <v>1.7687296416938112</v>
      </c>
      <c r="G389" s="158">
        <f t="shared" si="1178"/>
        <v>0.94726696957180223</v>
      </c>
      <c r="H389" s="158">
        <f t="shared" ref="H389" si="1182">+H228/H67</f>
        <v>3.4282503725297011</v>
      </c>
      <c r="I389" s="158">
        <f t="shared" si="1165"/>
        <v>4.3823529411764701</v>
      </c>
      <c r="J389" s="180">
        <f t="shared" si="1179"/>
        <v>2.8888888888888888</v>
      </c>
      <c r="K389" s="181">
        <f t="shared" si="1166"/>
        <v>3.6210526315789471</v>
      </c>
      <c r="L389" s="127">
        <f t="shared" ref="L389" si="1183">+K389/J389-1</f>
        <v>0.25344129554655859</v>
      </c>
      <c r="M389" s="2"/>
      <c r="N389" s="133" t="s">
        <v>4</v>
      </c>
      <c r="O389" s="158">
        <f t="shared" ref="O389:U389" si="1184">+O228/O67</f>
        <v>2.473981171191816</v>
      </c>
      <c r="P389" s="158">
        <f t="shared" si="1184"/>
        <v>2.0934989083421431</v>
      </c>
      <c r="Q389" s="158">
        <f t="shared" si="1184"/>
        <v>2.5996857994562483</v>
      </c>
      <c r="R389" s="158">
        <f t="shared" si="1184"/>
        <v>1.6157897518099027</v>
      </c>
      <c r="S389" s="158">
        <f t="shared" si="1184"/>
        <v>1.0906361099701136</v>
      </c>
      <c r="T389" s="158">
        <f t="shared" si="1184"/>
        <v>1.0508048228905902</v>
      </c>
      <c r="U389" s="158">
        <f t="shared" si="1184"/>
        <v>2.4635913665458751</v>
      </c>
      <c r="V389" s="158">
        <f t="shared" si="1160"/>
        <v>2.6099501248571815</v>
      </c>
      <c r="W389" s="180">
        <f t="shared" si="1177"/>
        <v>2.839479855041569</v>
      </c>
      <c r="X389" s="181">
        <f t="shared" si="1177"/>
        <v>2.9389804325437687</v>
      </c>
      <c r="Y389" s="147">
        <f t="shared" si="1162"/>
        <v>3.5041832512223703E-2</v>
      </c>
      <c r="Z389" s="127">
        <f t="shared" si="1163"/>
        <v>0.21927975941816702</v>
      </c>
    </row>
    <row r="390" spans="1:26" x14ac:dyDescent="0.25">
      <c r="A390" s="133" t="s">
        <v>5</v>
      </c>
      <c r="B390" s="158">
        <f t="shared" ref="B390:F390" si="1185">+B229/B68</f>
        <v>2.9003936607544922</v>
      </c>
      <c r="C390" s="158">
        <f t="shared" si="1185"/>
        <v>2.391016981159483</v>
      </c>
      <c r="D390" s="158">
        <f t="shared" si="1185"/>
        <v>2.0562998645190427</v>
      </c>
      <c r="E390" s="158">
        <f t="shared" si="1185"/>
        <v>1.9018612521150595</v>
      </c>
      <c r="F390" s="158">
        <f t="shared" si="1185"/>
        <v>0.97615131578947378</v>
      </c>
      <c r="G390" s="158">
        <f t="shared" si="1178"/>
        <v>2.4078091106290671</v>
      </c>
      <c r="H390" s="158">
        <f t="shared" ref="H390" si="1186">+H229/H68</f>
        <v>2.4269207570674478</v>
      </c>
      <c r="I390" s="158">
        <f t="shared" si="1165"/>
        <v>2.7112135176651302</v>
      </c>
      <c r="J390" s="180">
        <f t="shared" si="1179"/>
        <v>2.7047332832456799</v>
      </c>
      <c r="K390" s="181"/>
      <c r="L390" s="127"/>
      <c r="M390" s="2"/>
      <c r="N390" s="133" t="s">
        <v>5</v>
      </c>
      <c r="O390" s="158">
        <f t="shared" ref="O390:U390" si="1187">+O229/O68</f>
        <v>2.4818201080278914</v>
      </c>
      <c r="P390" s="158">
        <f t="shared" si="1187"/>
        <v>2.0495038797076099</v>
      </c>
      <c r="Q390" s="158">
        <f t="shared" si="1187"/>
        <v>2.5144905843612468</v>
      </c>
      <c r="R390" s="158">
        <f t="shared" si="1187"/>
        <v>1.5765876080854508</v>
      </c>
      <c r="S390" s="158">
        <f t="shared" si="1187"/>
        <v>1.0431546500263138</v>
      </c>
      <c r="T390" s="158">
        <f t="shared" si="1187"/>
        <v>1.1383539998393097</v>
      </c>
      <c r="U390" s="158">
        <f t="shared" si="1187"/>
        <v>2.4689482277608552</v>
      </c>
      <c r="V390" s="158">
        <f t="shared" si="1160"/>
        <v>2.6431431069139668</v>
      </c>
      <c r="W390" s="180">
        <f t="shared" si="1177"/>
        <v>2.8386044532690398</v>
      </c>
      <c r="X390" s="181"/>
      <c r="Y390" s="147"/>
      <c r="Z390" s="127"/>
    </row>
    <row r="391" spans="1:26" x14ac:dyDescent="0.25">
      <c r="A391" s="133" t="s">
        <v>6</v>
      </c>
      <c r="B391" s="158">
        <f t="shared" ref="B391:F391" si="1188">+B230/B69</f>
        <v>2.3419506497906344</v>
      </c>
      <c r="C391" s="158">
        <f t="shared" si="1188"/>
        <v>1.3640699806533867</v>
      </c>
      <c r="D391" s="158">
        <f t="shared" si="1188"/>
        <v>2.2566371681415931</v>
      </c>
      <c r="E391" s="158">
        <f t="shared" si="1188"/>
        <v>2.2383465259454707</v>
      </c>
      <c r="F391" s="158">
        <f t="shared" si="1188"/>
        <v>1.4240218380345768</v>
      </c>
      <c r="G391" s="158">
        <f t="shared" si="1178"/>
        <v>2.2011568123393319</v>
      </c>
      <c r="H391" s="158">
        <f t="shared" ref="H391" si="1189">+H230/H69</f>
        <v>2.3399734729669417</v>
      </c>
      <c r="I391" s="158">
        <f t="shared" si="1165"/>
        <v>3.0278884462151394</v>
      </c>
      <c r="J391" s="180">
        <f t="shared" si="1179"/>
        <v>2.75</v>
      </c>
      <c r="K391" s="181"/>
      <c r="L391" s="127"/>
      <c r="M391" s="2"/>
      <c r="N391" s="133" t="s">
        <v>6</v>
      </c>
      <c r="O391" s="158">
        <f t="shared" ref="O391:U391" si="1190">+O230/O69</f>
        <v>2.4605002307424058</v>
      </c>
      <c r="P391" s="158">
        <f t="shared" si="1190"/>
        <v>1.9669363546280851</v>
      </c>
      <c r="Q391" s="158">
        <f t="shared" si="1190"/>
        <v>2.6171210748167257</v>
      </c>
      <c r="R391" s="158">
        <f t="shared" si="1190"/>
        <v>1.5788684057536146</v>
      </c>
      <c r="S391" s="158">
        <f t="shared" si="1190"/>
        <v>1.0304169514695831</v>
      </c>
      <c r="T391" s="158">
        <f t="shared" si="1190"/>
        <v>1.1663078725781397</v>
      </c>
      <c r="U391" s="158">
        <f t="shared" si="1190"/>
        <v>2.4947797459901295</v>
      </c>
      <c r="V391" s="158">
        <f t="shared" si="1160"/>
        <v>2.6882329613053089</v>
      </c>
      <c r="W391" s="180">
        <f t="shared" si="1177"/>
        <v>2.8209148544549731</v>
      </c>
      <c r="X391" s="181"/>
      <c r="Y391" s="147"/>
      <c r="Z391" s="127"/>
    </row>
    <row r="392" spans="1:26" x14ac:dyDescent="0.25">
      <c r="A392" s="133" t="s">
        <v>7</v>
      </c>
      <c r="B392" s="158">
        <f t="shared" ref="B392:F392" si="1191">+B231/B70</f>
        <v>2.3054477481901565</v>
      </c>
      <c r="C392" s="158">
        <f t="shared" si="1191"/>
        <v>2.1417143219224739</v>
      </c>
      <c r="D392" s="158">
        <f t="shared" si="1191"/>
        <v>2.878024193548387</v>
      </c>
      <c r="E392" s="158">
        <f t="shared" si="1191"/>
        <v>1.1542879019908117</v>
      </c>
      <c r="F392" s="158">
        <f t="shared" si="1191"/>
        <v>1.1402050429481851</v>
      </c>
      <c r="G392" s="158">
        <f t="shared" si="1178"/>
        <v>2.3579145138562705</v>
      </c>
      <c r="H392" s="158">
        <f t="shared" ref="H392:H394" si="1192">+H231/H70</f>
        <v>1.7014823945316595</v>
      </c>
      <c r="I392" s="158">
        <f t="shared" si="1165"/>
        <v>2.2614107883817427</v>
      </c>
      <c r="J392" s="180">
        <f t="shared" si="1179"/>
        <v>2.3928770172509739</v>
      </c>
      <c r="K392" s="181"/>
      <c r="L392" s="127"/>
      <c r="M392" s="2"/>
      <c r="N392" s="133" t="s">
        <v>7</v>
      </c>
      <c r="O392" s="158">
        <f t="shared" ref="O392:U392" si="1193">+O231/O70</f>
        <v>2.41192738867178</v>
      </c>
      <c r="P392" s="158">
        <f t="shared" si="1193"/>
        <v>1.9539684479387984</v>
      </c>
      <c r="Q392" s="158">
        <f t="shared" si="1193"/>
        <v>2.6813207787250284</v>
      </c>
      <c r="R392" s="158">
        <f t="shared" si="1193"/>
        <v>1.4940862401216342</v>
      </c>
      <c r="S392" s="158">
        <f t="shared" si="1193"/>
        <v>1.0321489001692048</v>
      </c>
      <c r="T392" s="158">
        <f t="shared" si="1193"/>
        <v>1.2062074518702874</v>
      </c>
      <c r="U392" s="158">
        <f t="shared" si="1193"/>
        <v>2.4185162731039695</v>
      </c>
      <c r="V392" s="158">
        <f t="shared" si="1160"/>
        <v>2.8395717736144661</v>
      </c>
      <c r="W392" s="180">
        <f t="shared" si="1177"/>
        <v>2.8060895368339569</v>
      </c>
      <c r="X392" s="181"/>
      <c r="Y392" s="147"/>
      <c r="Z392" s="127"/>
    </row>
    <row r="393" spans="1:26" x14ac:dyDescent="0.25">
      <c r="A393" s="133" t="s">
        <v>8</v>
      </c>
      <c r="B393" s="158">
        <f t="shared" ref="B393:F393" si="1194">+B232/B71</f>
        <v>3.3007812500000004</v>
      </c>
      <c r="C393" s="158">
        <f t="shared" si="1194"/>
        <v>5.6640625000000009</v>
      </c>
      <c r="D393" s="158">
        <f t="shared" si="1194"/>
        <v>1.9073927913706918</v>
      </c>
      <c r="E393" s="158">
        <f t="shared" si="1194"/>
        <v>1.2011251758087202</v>
      </c>
      <c r="F393" s="158">
        <f t="shared" si="1194"/>
        <v>0.78770413064361189</v>
      </c>
      <c r="G393" s="158">
        <f t="shared" si="1178"/>
        <v>1.3516219463356027</v>
      </c>
      <c r="H393" s="158">
        <f t="shared" si="1192"/>
        <v>2.248995983935743</v>
      </c>
      <c r="I393" s="158">
        <f t="shared" si="1165"/>
        <v>2.9198184568835095</v>
      </c>
      <c r="J393" s="180">
        <f t="shared" si="1179"/>
        <v>2.6145038167938934</v>
      </c>
      <c r="K393" s="181"/>
      <c r="L393" s="127"/>
      <c r="M393" s="2"/>
      <c r="N393" s="133" t="s">
        <v>8</v>
      </c>
      <c r="O393" s="158">
        <f t="shared" ref="O393:U393" si="1195">+O232/O71</f>
        <v>2.4126825056263339</v>
      </c>
      <c r="P393" s="158">
        <f t="shared" si="1195"/>
        <v>2.0450549442277137</v>
      </c>
      <c r="Q393" s="158">
        <f t="shared" si="1195"/>
        <v>2.4580872971128449</v>
      </c>
      <c r="R393" s="158">
        <f t="shared" si="1195"/>
        <v>1.4476978532237155</v>
      </c>
      <c r="S393" s="158">
        <f t="shared" si="1195"/>
        <v>0.99993313720246069</v>
      </c>
      <c r="T393" s="158">
        <f t="shared" si="1195"/>
        <v>1.2788987955576407</v>
      </c>
      <c r="U393" s="158">
        <f t="shared" si="1195"/>
        <v>2.6550355351667427</v>
      </c>
      <c r="V393" s="158">
        <f t="shared" si="1160"/>
        <v>2.904826038159372</v>
      </c>
      <c r="W393" s="180">
        <f t="shared" si="1177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196">+B233/B72</f>
        <v>2.4420075917334456</v>
      </c>
      <c r="C394" s="158">
        <f t="shared" si="1196"/>
        <v>3.1716575284690003</v>
      </c>
      <c r="D394" s="158">
        <f t="shared" si="1196"/>
        <v>1.6248103826057643</v>
      </c>
      <c r="E394" s="158">
        <f t="shared" si="1196"/>
        <v>0.76551782538741631</v>
      </c>
      <c r="F394" s="158">
        <f t="shared" si="1196"/>
        <v>0.92085614733698362</v>
      </c>
      <c r="G394" s="158">
        <f t="shared" si="1178"/>
        <v>1.8220834959032386</v>
      </c>
      <c r="H394" s="158">
        <f t="shared" si="1192"/>
        <v>3.3578174186778598</v>
      </c>
      <c r="I394" s="158">
        <f t="shared" si="1165"/>
        <v>2.9875821767713657</v>
      </c>
      <c r="J394" s="180">
        <f t="shared" si="1179"/>
        <v>4.2857142857142847</v>
      </c>
      <c r="K394" s="181"/>
      <c r="L394" s="127"/>
      <c r="M394" s="2"/>
      <c r="N394" s="133" t="s">
        <v>9</v>
      </c>
      <c r="O394" s="158">
        <f t="shared" ref="O394:U394" si="1197">+O233/O72</f>
        <v>2.3919815779443208</v>
      </c>
      <c r="P394" s="158">
        <f t="shared" si="1197"/>
        <v>2.0884653129824859</v>
      </c>
      <c r="Q394" s="158">
        <f t="shared" si="1197"/>
        <v>2.2800096610578855</v>
      </c>
      <c r="R394" s="158">
        <f t="shared" si="1197"/>
        <v>1.3012718473140061</v>
      </c>
      <c r="S394" s="158">
        <f t="shared" si="1197"/>
        <v>1.0272291969411822</v>
      </c>
      <c r="T394" s="158">
        <f t="shared" si="1197"/>
        <v>1.3376112195283298</v>
      </c>
      <c r="U394" s="158">
        <f t="shared" si="1197"/>
        <v>2.8220783385522825</v>
      </c>
      <c r="V394" s="158">
        <f t="shared" si="1160"/>
        <v>2.8534839151266262</v>
      </c>
      <c r="W394" s="180">
        <f t="shared" si="1177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198">+B234/B73</f>
        <v>2.3919815779443212</v>
      </c>
      <c r="C395" s="182">
        <f t="shared" si="1198"/>
        <v>2.0884653129824859</v>
      </c>
      <c r="D395" s="182">
        <f t="shared" si="1198"/>
        <v>2.2800096610578855</v>
      </c>
      <c r="E395" s="182">
        <f t="shared" si="1198"/>
        <v>1.3012718473140061</v>
      </c>
      <c r="F395" s="182">
        <f t="shared" si="1198"/>
        <v>1.0272291969411822</v>
      </c>
      <c r="G395" s="182">
        <f t="shared" si="1178"/>
        <v>1.3376112195283298</v>
      </c>
      <c r="H395" s="182">
        <f t="shared" ref="H395" si="1199">+H234/H73</f>
        <v>2.8220783385522825</v>
      </c>
      <c r="I395" s="182">
        <f t="shared" ref="I395:J395" si="1200">+I234/I73</f>
        <v>2.8534839151266262</v>
      </c>
      <c r="J395" s="183">
        <f t="shared" si="1200"/>
        <v>2.8779947034550721</v>
      </c>
      <c r="K395" s="183"/>
      <c r="L395" s="137"/>
      <c r="M395" s="3"/>
      <c r="N395" s="134" t="s">
        <v>14</v>
      </c>
      <c r="O395" s="182">
        <f t="shared" ref="O395:W395" si="1201">+O234/O73</f>
        <v>2.4646251024410568</v>
      </c>
      <c r="P395" s="182">
        <f t="shared" si="1201"/>
        <v>2.104746292323751</v>
      </c>
      <c r="Q395" s="182">
        <f t="shared" si="1201"/>
        <v>2.5050154439654397</v>
      </c>
      <c r="R395" s="182">
        <f t="shared" si="1201"/>
        <v>1.637747869764387</v>
      </c>
      <c r="S395" s="182">
        <f t="shared" si="1201"/>
        <v>1.0969889107255604</v>
      </c>
      <c r="T395" s="182">
        <f t="shared" si="1201"/>
        <v>1.1183430465414386</v>
      </c>
      <c r="U395" s="182">
        <f t="shared" si="1201"/>
        <v>1.9829126123155412</v>
      </c>
      <c r="V395" s="182">
        <f t="shared" si="1201"/>
        <v>2.7849003501733227</v>
      </c>
      <c r="W395" s="183">
        <f t="shared" si="1201"/>
        <v>2.8508422122489065</v>
      </c>
      <c r="X395" s="183">
        <f t="shared" ref="X395" si="1202">+X234/X73</f>
        <v>2.9022574228516156</v>
      </c>
      <c r="Y395" s="149">
        <f>+X395/W395-1</f>
        <v>1.803509516654378E-2</v>
      </c>
      <c r="Z395" s="156">
        <f>+POWER(X395/S395,0.2)-1</f>
        <v>0.21480546962281588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203">+C395/C$485</f>
        <v>0.55366635813149068</v>
      </c>
      <c r="D396" s="138">
        <f t="shared" ref="D396" si="1204">+D395/D$485</f>
        <v>0.59931586228403644</v>
      </c>
      <c r="E396" s="138">
        <f t="shared" ref="E396" si="1205">+E395/E$485</f>
        <v>0.38267138466614009</v>
      </c>
      <c r="F396" s="138">
        <f t="shared" ref="F396:G396" si="1206">+F395/F$485</f>
        <v>0.37358932954191171</v>
      </c>
      <c r="G396" s="138">
        <f t="shared" si="1206"/>
        <v>0.43730574607362832</v>
      </c>
      <c r="H396" s="138">
        <f t="shared" ref="H396" si="1207">+H395/H$485</f>
        <v>0.86873463546538854</v>
      </c>
      <c r="I396" s="138">
        <f t="shared" ref="I396:J396" si="1208">+I395/I$485</f>
        <v>0.80728942445830421</v>
      </c>
      <c r="J396" s="139">
        <f t="shared" si="1208"/>
        <v>0.81057971251618943</v>
      </c>
      <c r="K396" s="139"/>
      <c r="L396" s="140"/>
      <c r="M396" s="3"/>
      <c r="N396" s="135" t="s">
        <v>15</v>
      </c>
      <c r="O396" s="138">
        <f t="shared" ref="O396" si="1209">+O395/O$485</f>
        <v>0.72293012540083779</v>
      </c>
      <c r="P396" s="138">
        <f t="shared" ref="P396" si="1210">+P395/P$485</f>
        <v>0.58209134501838955</v>
      </c>
      <c r="Q396" s="138">
        <f t="shared" ref="Q396" si="1211">+Q395/Q$485</f>
        <v>0.64911674962052346</v>
      </c>
      <c r="R396" s="138">
        <f t="shared" ref="R396" si="1212">+R395/R$485</f>
        <v>0.45620882274750646</v>
      </c>
      <c r="S396" s="138">
        <f t="shared" ref="S396:W396" si="1213">+S395/S$485</f>
        <v>0.36542592037464083</v>
      </c>
      <c r="T396" s="138">
        <f t="shared" si="1213"/>
        <v>0.38596052606174724</v>
      </c>
      <c r="U396" s="138">
        <f t="shared" si="1213"/>
        <v>0.63018680545841632</v>
      </c>
      <c r="V396" s="138">
        <f t="shared" si="1213"/>
        <v>0.81797437866608702</v>
      </c>
      <c r="W396" s="139">
        <f t="shared" si="1213"/>
        <v>0.8043214409681102</v>
      </c>
      <c r="X396" s="139">
        <f t="shared" ref="X396" si="1214">+X395/X$485</f>
        <v>0.81176588768051205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215">+D395/C395-1</f>
        <v>9.1715360022838865E-2</v>
      </c>
      <c r="E397" s="142">
        <f t="shared" ref="E397" si="1216">+E395/D395-1</f>
        <v>-0.42926915199550586</v>
      </c>
      <c r="F397" s="142">
        <f t="shared" ref="F397:J397" si="1217">+F395/E395-1</f>
        <v>-0.21059600339351348</v>
      </c>
      <c r="G397" s="142">
        <f t="shared" si="1217"/>
        <v>0.3021545955969549</v>
      </c>
      <c r="H397" s="142">
        <f t="shared" si="1217"/>
        <v>1.109789673824213</v>
      </c>
      <c r="I397" s="142">
        <f t="shared" si="1217"/>
        <v>1.1128527562581647E-2</v>
      </c>
      <c r="J397" s="143">
        <f t="shared" si="1217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218">+Q395/P395-1</f>
        <v>0.19017453699836206</v>
      </c>
      <c r="R397" s="142">
        <f t="shared" ref="R397" si="1219">+R395/Q395-1</f>
        <v>-0.34621246599109512</v>
      </c>
      <c r="S397" s="142">
        <f t="shared" ref="S397" si="1220">+S395/R395-1</f>
        <v>-0.3301844984946446</v>
      </c>
      <c r="T397" s="142">
        <f t="shared" ref="T397" si="1221">+T395/S395-1</f>
        <v>1.9466136445950299E-2</v>
      </c>
      <c r="U397" s="142">
        <f t="shared" ref="U397" si="1222">+U395/T395-1</f>
        <v>0.77308082564455516</v>
      </c>
      <c r="V397" s="142">
        <f t="shared" ref="V397" si="1223">+V395/U395-1</f>
        <v>0.40444936043916857</v>
      </c>
      <c r="W397" s="143">
        <f t="shared" ref="W397:X397" si="1224">+W395/V395-1</f>
        <v>2.367835605732882E-2</v>
      </c>
      <c r="X397" s="143">
        <f t="shared" si="1224"/>
        <v>1.803509516654378E-2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90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91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225">+C400+1</f>
        <v>2018</v>
      </c>
      <c r="E400" s="129">
        <f t="shared" ref="E400" si="1226">+D400+1</f>
        <v>2019</v>
      </c>
      <c r="F400" s="129">
        <f t="shared" ref="F400" si="1227">+E400+1</f>
        <v>2020</v>
      </c>
      <c r="G400" s="129">
        <f t="shared" ref="G400" si="1228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229">+P400+1</f>
        <v>2018</v>
      </c>
      <c r="R400" s="129">
        <f t="shared" ref="R400" si="1230">+Q400+1</f>
        <v>2019</v>
      </c>
      <c r="S400" s="129">
        <f t="shared" ref="S400" si="1231">+R400+1</f>
        <v>2020</v>
      </c>
      <c r="T400" s="129">
        <f t="shared" ref="T400" si="1232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233">+C240/C79</f>
        <v>2.4903271192402392</v>
      </c>
      <c r="D401" s="158">
        <f t="shared" si="1233"/>
        <v>3.0642309958750737</v>
      </c>
      <c r="E401" s="158">
        <f t="shared" si="1233"/>
        <v>3.0673431734317345</v>
      </c>
      <c r="F401" s="158">
        <f t="shared" si="1233"/>
        <v>3.0955259975816207</v>
      </c>
      <c r="G401" s="158">
        <f t="shared" si="1233"/>
        <v>2.5322283609576428</v>
      </c>
      <c r="H401" s="158">
        <f t="shared" si="1233"/>
        <v>2.9725963771481654</v>
      </c>
      <c r="I401" s="158">
        <f t="shared" ref="I401:J401" si="1234">+I240/I79</f>
        <v>3.1190377436748236</v>
      </c>
      <c r="J401" s="180">
        <f t="shared" si="1234"/>
        <v>3.2558139534883721</v>
      </c>
      <c r="K401" s="181">
        <f t="shared" ref="K401" si="1235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236">+P240/P79</f>
        <v>2.8638866240039338</v>
      </c>
      <c r="Q401" s="158">
        <f t="shared" si="1236"/>
        <v>3.0215343203230143</v>
      </c>
      <c r="R401" s="158">
        <f t="shared" si="1236"/>
        <v>3.1049382716049378</v>
      </c>
      <c r="S401" s="158">
        <f t="shared" si="1236"/>
        <v>2.9331256925518856</v>
      </c>
      <c r="T401" s="158">
        <f t="shared" si="1236"/>
        <v>2.4193409123614913</v>
      </c>
      <c r="U401" s="158">
        <f t="shared" si="1236"/>
        <v>2.9058062633728849</v>
      </c>
      <c r="V401" s="158">
        <f t="shared" si="1236"/>
        <v>2.8911621450578124</v>
      </c>
      <c r="W401" s="180">
        <f t="shared" si="1236"/>
        <v>3.2099637274098805</v>
      </c>
      <c r="X401" s="181">
        <f t="shared" ref="X401" si="1237">+X240/X79</f>
        <v>3.4495087999444571</v>
      </c>
      <c r="Y401" s="147">
        <f t="shared" ref="Y401:Y407" si="1238">+X401/W401-1</f>
        <v>7.4625476446696704E-2</v>
      </c>
      <c r="Z401" s="127">
        <f t="shared" ref="Z401:Z407" si="1239">+POWER(X401/S401,0.2)-1</f>
        <v>3.2964310406835784E-2</v>
      </c>
    </row>
    <row r="402" spans="1:26" x14ac:dyDescent="0.25">
      <c r="A402" s="133" t="s">
        <v>11</v>
      </c>
      <c r="B402" s="158">
        <f t="shared" ref="B402:G402" si="1240">+B241/B80</f>
        <v>2.91913856770991</v>
      </c>
      <c r="C402" s="158">
        <f t="shared" si="1240"/>
        <v>2.9116465863453813</v>
      </c>
      <c r="D402" s="158">
        <f t="shared" si="1240"/>
        <v>3.1303952748750565</v>
      </c>
      <c r="E402" s="158">
        <f t="shared" si="1240"/>
        <v>3.1154879140555058</v>
      </c>
      <c r="F402" s="158">
        <f t="shared" si="1240"/>
        <v>1.9973833406018318</v>
      </c>
      <c r="G402" s="158">
        <f t="shared" si="1240"/>
        <v>2.7854903716972683</v>
      </c>
      <c r="H402" s="158">
        <f t="shared" si="1233"/>
        <v>2.7749262536873158</v>
      </c>
      <c r="I402" s="158">
        <f t="shared" ref="I402:J412" si="1241">+I241/I80</f>
        <v>3.2785538208709943</v>
      </c>
      <c r="J402" s="180">
        <f t="shared" si="1241"/>
        <v>3.3333333333333335</v>
      </c>
      <c r="K402" s="181">
        <f t="shared" ref="K402:K407" si="1242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243">+O241/O80</f>
        <v>2.8623379508977975</v>
      </c>
      <c r="P402" s="158">
        <f t="shared" si="1243"/>
        <v>2.8618414656622679</v>
      </c>
      <c r="Q402" s="158">
        <f t="shared" si="1243"/>
        <v>3.0331087860111792</v>
      </c>
      <c r="R402" s="158">
        <f t="shared" si="1243"/>
        <v>3.1040282566647046</v>
      </c>
      <c r="S402" s="158">
        <f t="shared" si="1243"/>
        <v>2.8568011958146493</v>
      </c>
      <c r="T402" s="158">
        <f t="shared" si="1243"/>
        <v>2.4708087069338336</v>
      </c>
      <c r="U402" s="158">
        <f t="shared" si="1243"/>
        <v>2.9016672578928695</v>
      </c>
      <c r="V402" s="158">
        <f t="shared" si="1236"/>
        <v>2.9212833453285589</v>
      </c>
      <c r="W402" s="180">
        <f t="shared" si="1236"/>
        <v>3.2159022568290445</v>
      </c>
      <c r="X402" s="181">
        <f t="shared" ref="X402:X404" si="1244">+X241/X80</f>
        <v>3.4457414613056638</v>
      </c>
      <c r="Y402" s="147">
        <f t="shared" si="1238"/>
        <v>7.1469586486514025E-2</v>
      </c>
      <c r="Z402" s="127">
        <f t="shared" si="1239"/>
        <v>3.8198827169895644E-2</v>
      </c>
    </row>
    <row r="403" spans="1:26" x14ac:dyDescent="0.25">
      <c r="A403" s="133" t="s">
        <v>0</v>
      </c>
      <c r="B403" s="158">
        <f t="shared" ref="B403:G403" si="1245">+B242/B81</f>
        <v>3.1104195499415068</v>
      </c>
      <c r="C403" s="158">
        <f t="shared" si="1245"/>
        <v>3.1340805313408051</v>
      </c>
      <c r="D403" s="158">
        <f t="shared" si="1245"/>
        <v>3.3319935691318325</v>
      </c>
      <c r="E403" s="158">
        <f t="shared" si="1245"/>
        <v>3.1120903332415311</v>
      </c>
      <c r="F403" s="158">
        <f t="shared" si="1245"/>
        <v>2.443400256300726</v>
      </c>
      <c r="G403" s="158">
        <f t="shared" si="1245"/>
        <v>3.2203981837233671</v>
      </c>
      <c r="H403" s="158">
        <f t="shared" si="1233"/>
        <v>2.8857061459169668</v>
      </c>
      <c r="I403" s="158">
        <f t="shared" si="1241"/>
        <v>3.0236739586454897</v>
      </c>
      <c r="J403" s="180">
        <f t="shared" si="1241"/>
        <v>3.5467196819085487</v>
      </c>
      <c r="K403" s="181">
        <f t="shared" si="1242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246">+O242/O81</f>
        <v>2.8764367193122258</v>
      </c>
      <c r="P403" s="158">
        <f t="shared" si="1246"/>
        <v>2.8619964741242527</v>
      </c>
      <c r="Q403" s="158">
        <f t="shared" si="1246"/>
        <v>3.0474202036380276</v>
      </c>
      <c r="R403" s="158">
        <f t="shared" si="1246"/>
        <v>3.0894176445023902</v>
      </c>
      <c r="S403" s="158">
        <f t="shared" si="1246"/>
        <v>2.7978855721393039</v>
      </c>
      <c r="T403" s="158">
        <f t="shared" si="1246"/>
        <v>2.5335870707529757</v>
      </c>
      <c r="U403" s="158">
        <f t="shared" si="1246"/>
        <v>2.8791606885828416</v>
      </c>
      <c r="V403" s="158">
        <f t="shared" si="1236"/>
        <v>2.9322050727042308</v>
      </c>
      <c r="W403" s="180">
        <f t="shared" si="1236"/>
        <v>3.2637873322283975</v>
      </c>
      <c r="X403" s="181">
        <f t="shared" si="1244"/>
        <v>3.4407313052600026</v>
      </c>
      <c r="Y403" s="147">
        <f t="shared" si="1238"/>
        <v>5.4214308415369228E-2</v>
      </c>
      <c r="Z403" s="127">
        <f t="shared" si="1239"/>
        <v>4.2231420919915053E-2</v>
      </c>
    </row>
    <row r="404" spans="1:26" x14ac:dyDescent="0.25">
      <c r="A404" s="133" t="s">
        <v>1</v>
      </c>
      <c r="B404" s="158">
        <f t="shared" ref="B404:H404" si="1247">+B243/B82</f>
        <v>2.5685413536999571</v>
      </c>
      <c r="C404" s="158">
        <f t="shared" si="1247"/>
        <v>3.0035714285714281</v>
      </c>
      <c r="D404" s="158">
        <f t="shared" si="1247"/>
        <v>3.1683501683501682</v>
      </c>
      <c r="E404" s="158">
        <f t="shared" si="1247"/>
        <v>3.3371559633027523</v>
      </c>
      <c r="F404" s="158">
        <f t="shared" si="1247"/>
        <v>2.3136785393594734</v>
      </c>
      <c r="G404" s="158">
        <f t="shared" si="1247"/>
        <v>2.8618205631958089</v>
      </c>
      <c r="H404" s="158">
        <f t="shared" si="1247"/>
        <v>2.6524409657877333</v>
      </c>
      <c r="I404" s="158">
        <f t="shared" si="1241"/>
        <v>3.1760035288928097</v>
      </c>
      <c r="J404" s="180">
        <f t="shared" si="1241"/>
        <v>3.4757505773672062</v>
      </c>
      <c r="K404" s="181">
        <f t="shared" si="1242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248">+O243/O82</f>
        <v>2.8758447867572876</v>
      </c>
      <c r="P404" s="158">
        <f t="shared" si="1248"/>
        <v>2.9048151509075066</v>
      </c>
      <c r="Q404" s="158">
        <f t="shared" si="1248"/>
        <v>3.0611373598223941</v>
      </c>
      <c r="R404" s="158">
        <f t="shared" si="1248"/>
        <v>3.1007624376062748</v>
      </c>
      <c r="S404" s="158">
        <f t="shared" si="1248"/>
        <v>2.705792914702752</v>
      </c>
      <c r="T404" s="158">
        <f t="shared" si="1248"/>
        <v>2.5833333333333326</v>
      </c>
      <c r="U404" s="158">
        <f t="shared" si="1248"/>
        <v>2.8569287073778478</v>
      </c>
      <c r="V404" s="158">
        <f t="shared" si="1236"/>
        <v>2.9767577149753519</v>
      </c>
      <c r="W404" s="180">
        <f t="shared" si="1236"/>
        <v>3.2878914539257926</v>
      </c>
      <c r="X404" s="181">
        <f t="shared" si="1244"/>
        <v>3.4446677029230002</v>
      </c>
      <c r="Y404" s="147">
        <f t="shared" si="1238"/>
        <v>4.7682915082252642E-2</v>
      </c>
      <c r="Z404" s="127">
        <f t="shared" si="1239"/>
        <v>4.9471273900769219E-2</v>
      </c>
    </row>
    <row r="405" spans="1:26" x14ac:dyDescent="0.25">
      <c r="A405" s="133" t="s">
        <v>2</v>
      </c>
      <c r="B405" s="158">
        <f t="shared" ref="B405:H405" si="1249">+B244/B83</f>
        <v>2.7956427365543854</v>
      </c>
      <c r="C405" s="158">
        <f t="shared" si="1249"/>
        <v>2.999285884313259</v>
      </c>
      <c r="D405" s="158">
        <f t="shared" si="1249"/>
        <v>3.3442503639010193</v>
      </c>
      <c r="E405" s="158">
        <f t="shared" si="1249"/>
        <v>2.9491133384734001</v>
      </c>
      <c r="F405" s="158">
        <f t="shared" si="1249"/>
        <v>2.6179310344827584</v>
      </c>
      <c r="G405" s="158">
        <f t="shared" si="1249"/>
        <v>2.7906208718626155</v>
      </c>
      <c r="H405" s="158">
        <f t="shared" si="1249"/>
        <v>3.0989771966376178</v>
      </c>
      <c r="I405" s="158">
        <f t="shared" si="1241"/>
        <v>3.2986240238006697</v>
      </c>
      <c r="J405" s="180">
        <f t="shared" ref="J405" si="1250">+J244/J83</f>
        <v>3.1675269826372596</v>
      </c>
      <c r="K405" s="181">
        <f t="shared" si="1242"/>
        <v>3.2419700214132763</v>
      </c>
      <c r="L405" s="127">
        <f t="shared" ref="L405:L406" si="1251">+K405/J405-1</f>
        <v>2.3501943056546848E-2</v>
      </c>
      <c r="M405" s="2"/>
      <c r="N405" s="133" t="s">
        <v>2</v>
      </c>
      <c r="O405" s="158">
        <f t="shared" ref="O405:U405" si="1252">+O244/O83</f>
        <v>2.8896699581854177</v>
      </c>
      <c r="P405" s="158">
        <f t="shared" si="1252"/>
        <v>2.9254894198637169</v>
      </c>
      <c r="Q405" s="158">
        <f t="shared" si="1252"/>
        <v>3.0919509515750718</v>
      </c>
      <c r="R405" s="158">
        <f t="shared" si="1252"/>
        <v>3.0714993940729314</v>
      </c>
      <c r="S405" s="158">
        <f t="shared" si="1252"/>
        <v>2.6777921924755281</v>
      </c>
      <c r="T405" s="158">
        <f t="shared" si="1252"/>
        <v>2.5979663782303413</v>
      </c>
      <c r="U405" s="158">
        <f t="shared" si="1252"/>
        <v>2.8825154682479854</v>
      </c>
      <c r="V405" s="158">
        <f t="shared" si="1236"/>
        <v>2.9860810460588447</v>
      </c>
      <c r="W405" s="180">
        <f t="shared" ref="W405:X412" si="1253">+W244/W83</f>
        <v>3.2785489785227862</v>
      </c>
      <c r="X405" s="181">
        <f t="shared" si="1253"/>
        <v>3.4490801700462739</v>
      </c>
      <c r="Y405" s="147">
        <f t="shared" si="1238"/>
        <v>5.2014227220825049E-2</v>
      </c>
      <c r="Z405" s="127">
        <f t="shared" si="1239"/>
        <v>5.1926227996205165E-2</v>
      </c>
    </row>
    <row r="406" spans="1:26" x14ac:dyDescent="0.25">
      <c r="A406" s="133" t="s">
        <v>3</v>
      </c>
      <c r="B406" s="158">
        <f t="shared" ref="B406:H413" si="1254">+B245/B84</f>
        <v>2.7023150777195228</v>
      </c>
      <c r="C406" s="158">
        <f t="shared" si="1254"/>
        <v>2.7646416878865043</v>
      </c>
      <c r="D406" s="158">
        <f t="shared" si="1254"/>
        <v>3.125393824826717</v>
      </c>
      <c r="E406" s="158">
        <f t="shared" si="1254"/>
        <v>3.0255474452554743</v>
      </c>
      <c r="F406" s="158">
        <f t="shared" si="1254"/>
        <v>2.4251726784343823</v>
      </c>
      <c r="G406" s="158">
        <f t="shared" si="1254"/>
        <v>3.0772495755517824</v>
      </c>
      <c r="H406" s="158">
        <f t="shared" si="1254"/>
        <v>2.4857844416195283</v>
      </c>
      <c r="I406" s="158">
        <f t="shared" si="1241"/>
        <v>3.0228531855955678</v>
      </c>
      <c r="J406" s="180">
        <f t="shared" ref="J406:J412" si="1255">+J245/J84</f>
        <v>3.2437275985663079</v>
      </c>
      <c r="K406" s="181">
        <f t="shared" si="1242"/>
        <v>3.3301017935046051</v>
      </c>
      <c r="L406" s="127">
        <f t="shared" si="1251"/>
        <v>2.6628066726834154E-2</v>
      </c>
      <c r="M406" s="2"/>
      <c r="N406" s="133" t="s">
        <v>3</v>
      </c>
      <c r="O406" s="158">
        <f t="shared" ref="O406:U406" si="1256">+O245/O84</f>
        <v>2.8731972522583162</v>
      </c>
      <c r="P406" s="158">
        <f t="shared" si="1256"/>
        <v>2.9369198124840192</v>
      </c>
      <c r="Q406" s="158">
        <f t="shared" si="1256"/>
        <v>3.1214449070544772</v>
      </c>
      <c r="R406" s="158">
        <f t="shared" si="1256"/>
        <v>3.0632212744606111</v>
      </c>
      <c r="S406" s="158">
        <f t="shared" si="1256"/>
        <v>2.6300988692202951</v>
      </c>
      <c r="T406" s="158">
        <f t="shared" si="1256"/>
        <v>2.6723215020999751</v>
      </c>
      <c r="U406" s="158">
        <f t="shared" si="1256"/>
        <v>2.8167353211164401</v>
      </c>
      <c r="V406" s="158">
        <f t="shared" si="1236"/>
        <v>3.0607119446796447</v>
      </c>
      <c r="W406" s="180">
        <f t="shared" si="1253"/>
        <v>3.3006557815845823</v>
      </c>
      <c r="X406" s="181">
        <f t="shared" si="1253"/>
        <v>3.4571406936241105</v>
      </c>
      <c r="Y406" s="147">
        <f t="shared" si="1238"/>
        <v>4.7410248870120908E-2</v>
      </c>
      <c r="Z406" s="127">
        <f t="shared" si="1239"/>
        <v>5.6206889298195284E-2</v>
      </c>
    </row>
    <row r="407" spans="1:26" x14ac:dyDescent="0.25">
      <c r="A407" s="133" t="s">
        <v>4</v>
      </c>
      <c r="B407" s="158">
        <f t="shared" ref="B407:F407" si="1257">+B246/B85</f>
        <v>2.8808677614977083</v>
      </c>
      <c r="C407" s="158">
        <f t="shared" si="1257"/>
        <v>2.9028597367226507</v>
      </c>
      <c r="D407" s="158">
        <f t="shared" si="1257"/>
        <v>2.9173290937996819</v>
      </c>
      <c r="E407" s="158">
        <f t="shared" si="1257"/>
        <v>3.1328806983511153</v>
      </c>
      <c r="F407" s="158">
        <f t="shared" si="1257"/>
        <v>1.5304396843291996</v>
      </c>
      <c r="G407" s="158">
        <f t="shared" si="1254"/>
        <v>2.4910957469097004</v>
      </c>
      <c r="H407" s="158">
        <f t="shared" ref="H407" si="1258">+H246/H85</f>
        <v>3.032169499485216</v>
      </c>
      <c r="I407" s="158">
        <f t="shared" si="1241"/>
        <v>3.3029861616897307</v>
      </c>
      <c r="J407" s="180">
        <f t="shared" si="1255"/>
        <v>3.4366925064599485</v>
      </c>
      <c r="K407" s="181">
        <f t="shared" si="1242"/>
        <v>3.1366846697133361</v>
      </c>
      <c r="L407" s="127">
        <f t="shared" ref="L407" si="1259">+K407/J407-1</f>
        <v>-8.7295513399202274E-2</v>
      </c>
      <c r="M407" s="2"/>
      <c r="N407" s="133" t="s">
        <v>4</v>
      </c>
      <c r="O407" s="158">
        <f t="shared" ref="O407:U407" si="1260">+O246/O85</f>
        <v>2.8634379784779482</v>
      </c>
      <c r="P407" s="158">
        <f t="shared" si="1260"/>
        <v>2.9374559789075643</v>
      </c>
      <c r="Q407" s="158">
        <f t="shared" si="1260"/>
        <v>3.1125312586829672</v>
      </c>
      <c r="R407" s="158">
        <f t="shared" si="1260"/>
        <v>3.0978976038192001</v>
      </c>
      <c r="S407" s="158">
        <f t="shared" si="1260"/>
        <v>2.4707188129801092</v>
      </c>
      <c r="T407" s="158">
        <f t="shared" si="1260"/>
        <v>2.7569448133000476</v>
      </c>
      <c r="U407" s="158">
        <f t="shared" si="1260"/>
        <v>2.869076807252176</v>
      </c>
      <c r="V407" s="158">
        <f t="shared" si="1236"/>
        <v>3.0819567365600249</v>
      </c>
      <c r="W407" s="180">
        <f t="shared" si="1253"/>
        <v>3.3143726436933654</v>
      </c>
      <c r="X407" s="181">
        <f t="shared" si="1253"/>
        <v>3.4296155191851652</v>
      </c>
      <c r="Y407" s="147">
        <f t="shared" si="1238"/>
        <v>3.4770645271612777E-2</v>
      </c>
      <c r="Z407" s="127">
        <f t="shared" si="1239"/>
        <v>6.7786492466634707E-2</v>
      </c>
    </row>
    <row r="408" spans="1:26" x14ac:dyDescent="0.25">
      <c r="A408" s="133" t="s">
        <v>5</v>
      </c>
      <c r="B408" s="158">
        <f t="shared" ref="B408:F408" si="1261">+B247/B86</f>
        <v>2.7977395082774823</v>
      </c>
      <c r="C408" s="158">
        <f t="shared" si="1261"/>
        <v>2.9914703493095045</v>
      </c>
      <c r="D408" s="158">
        <f t="shared" si="1261"/>
        <v>3.023049645390071</v>
      </c>
      <c r="E408" s="158">
        <f t="shared" si="1261"/>
        <v>2.8937183685620722</v>
      </c>
      <c r="F408" s="158">
        <f t="shared" si="1261"/>
        <v>2.3955600403632697</v>
      </c>
      <c r="G408" s="158">
        <f t="shared" si="1254"/>
        <v>3.0437387657279809</v>
      </c>
      <c r="H408" s="158">
        <f t="shared" ref="H408" si="1262">+H247/H86</f>
        <v>3.0312593124632281</v>
      </c>
      <c r="I408" s="158">
        <f t="shared" si="1241"/>
        <v>3.2150101419878294</v>
      </c>
      <c r="J408" s="180">
        <f t="shared" si="1255"/>
        <v>3.3477237048665618</v>
      </c>
      <c r="K408" s="181"/>
      <c r="L408" s="127"/>
      <c r="M408" s="2"/>
      <c r="N408" s="133" t="s">
        <v>5</v>
      </c>
      <c r="O408" s="158">
        <f t="shared" ref="O408:U408" si="1263">+O247/O86</f>
        <v>2.8537792175002767</v>
      </c>
      <c r="P408" s="158">
        <f t="shared" si="1263"/>
        <v>2.9668286581450509</v>
      </c>
      <c r="Q408" s="158">
        <f t="shared" si="1263"/>
        <v>3.1210449927431059</v>
      </c>
      <c r="R408" s="158">
        <f t="shared" si="1263"/>
        <v>3.0846502511331613</v>
      </c>
      <c r="S408" s="158">
        <f t="shared" si="1263"/>
        <v>2.4206736806854021</v>
      </c>
      <c r="T408" s="158">
        <f t="shared" si="1263"/>
        <v>2.8331992119210812</v>
      </c>
      <c r="U408" s="158">
        <f t="shared" si="1263"/>
        <v>2.874671572281021</v>
      </c>
      <c r="V408" s="158">
        <f t="shared" si="1236"/>
        <v>3.1011995651324535</v>
      </c>
      <c r="W408" s="180">
        <f t="shared" si="1253"/>
        <v>3.3270752313262704</v>
      </c>
      <c r="X408" s="181"/>
      <c r="Y408" s="147"/>
      <c r="Z408" s="127"/>
    </row>
    <row r="409" spans="1:26" x14ac:dyDescent="0.25">
      <c r="A409" s="133" t="s">
        <v>6</v>
      </c>
      <c r="B409" s="158">
        <f t="shared" ref="B409:F409" si="1264">+B248/B87</f>
        <v>3.2842282822603317</v>
      </c>
      <c r="C409" s="158">
        <f t="shared" si="1264"/>
        <v>2.948051948051948</v>
      </c>
      <c r="D409" s="158">
        <f t="shared" si="1264"/>
        <v>3.2284040995607612</v>
      </c>
      <c r="E409" s="158">
        <f t="shared" si="1264"/>
        <v>2.5771018166455431</v>
      </c>
      <c r="F409" s="158">
        <f t="shared" si="1264"/>
        <v>1.8770614692653673</v>
      </c>
      <c r="G409" s="158">
        <f t="shared" si="1254"/>
        <v>2.8142543324383698</v>
      </c>
      <c r="H409" s="158">
        <f t="shared" ref="H409:H412" si="1265">+H248/H87</f>
        <v>2.6992878319589346</v>
      </c>
      <c r="I409" s="158">
        <f t="shared" si="1241"/>
        <v>3.3729216152019004</v>
      </c>
      <c r="J409" s="180">
        <f t="shared" si="1255"/>
        <v>3.9598321342925655</v>
      </c>
      <c r="K409" s="181"/>
      <c r="L409" s="127"/>
      <c r="M409" s="2"/>
      <c r="N409" s="133" t="s">
        <v>6</v>
      </c>
      <c r="O409" s="158">
        <f t="shared" ref="O409:U409" si="1266">+O248/O87</f>
        <v>2.8490013770501323</v>
      </c>
      <c r="P409" s="158">
        <f t="shared" si="1266"/>
        <v>2.943487774046289</v>
      </c>
      <c r="Q409" s="158">
        <f t="shared" si="1266"/>
        <v>3.1409153475567795</v>
      </c>
      <c r="R409" s="158">
        <f t="shared" si="1266"/>
        <v>3.0352773562114779</v>
      </c>
      <c r="S409" s="158">
        <f t="shared" si="1266"/>
        <v>2.3613488763892287</v>
      </c>
      <c r="T409" s="158">
        <f t="shared" si="1266"/>
        <v>2.9177423299546184</v>
      </c>
      <c r="U409" s="158">
        <f t="shared" si="1266"/>
        <v>2.863559907486493</v>
      </c>
      <c r="V409" s="158">
        <f t="shared" si="1236"/>
        <v>3.1751301469110933</v>
      </c>
      <c r="W409" s="180">
        <f t="shared" si="1253"/>
        <v>3.3919314852377731</v>
      </c>
      <c r="X409" s="181"/>
      <c r="Y409" s="147"/>
      <c r="Z409" s="127"/>
    </row>
    <row r="410" spans="1:26" x14ac:dyDescent="0.25">
      <c r="A410" s="133" t="s">
        <v>7</v>
      </c>
      <c r="B410" s="158">
        <f t="shared" ref="B410:F410" si="1267">+B249/B88</f>
        <v>2.8227115909441989</v>
      </c>
      <c r="C410" s="158">
        <f t="shared" si="1267"/>
        <v>3.3080999242997731</v>
      </c>
      <c r="D410" s="158">
        <f t="shared" si="1267"/>
        <v>3.2201646090534974</v>
      </c>
      <c r="E410" s="158">
        <f t="shared" si="1267"/>
        <v>2.8593604470661287</v>
      </c>
      <c r="F410" s="158">
        <f t="shared" si="1267"/>
        <v>2.9818840579710142</v>
      </c>
      <c r="G410" s="158">
        <f t="shared" si="1254"/>
        <v>3.2005141388174811</v>
      </c>
      <c r="H410" s="158">
        <f t="shared" si="1265"/>
        <v>2.7314254282670478</v>
      </c>
      <c r="I410" s="158">
        <f t="shared" si="1241"/>
        <v>3.37296345222369</v>
      </c>
      <c r="J410" s="180">
        <f t="shared" si="1255"/>
        <v>3.4318433690432215</v>
      </c>
      <c r="K410" s="181"/>
      <c r="L410" s="127"/>
      <c r="M410" s="2"/>
      <c r="N410" s="133" t="s">
        <v>7</v>
      </c>
      <c r="O410" s="158">
        <f t="shared" ref="O410:U410" si="1268">+O249/O88</f>
        <v>2.8443769354594437</v>
      </c>
      <c r="P410" s="158">
        <f t="shared" si="1268"/>
        <v>2.9805901935338266</v>
      </c>
      <c r="Q410" s="158">
        <f t="shared" si="1268"/>
        <v>3.1349228930746031</v>
      </c>
      <c r="R410" s="158">
        <f t="shared" si="1268"/>
        <v>3.0013500245459008</v>
      </c>
      <c r="S410" s="158">
        <f t="shared" si="1268"/>
        <v>2.3643368189323066</v>
      </c>
      <c r="T410" s="158">
        <f t="shared" si="1268"/>
        <v>2.9366638852251623</v>
      </c>
      <c r="U410" s="158">
        <f t="shared" si="1268"/>
        <v>2.8329695137206974</v>
      </c>
      <c r="V410" s="158">
        <f t="shared" si="1236"/>
        <v>3.2348768218754032</v>
      </c>
      <c r="W410" s="180">
        <f t="shared" si="1253"/>
        <v>3.3967296396253368</v>
      </c>
      <c r="X410" s="181"/>
      <c r="Y410" s="147"/>
      <c r="Z410" s="127"/>
    </row>
    <row r="411" spans="1:26" x14ac:dyDescent="0.25">
      <c r="A411" s="133" t="s">
        <v>8</v>
      </c>
      <c r="B411" s="158">
        <f t="shared" ref="B411:F411" si="1269">+B250/B89</f>
        <v>3.1906218144750254</v>
      </c>
      <c r="C411" s="158">
        <f t="shared" si="1269"/>
        <v>3.0247933884297522</v>
      </c>
      <c r="D411" s="158">
        <f t="shared" si="1269"/>
        <v>3.0651649235720035</v>
      </c>
      <c r="E411" s="158">
        <f t="shared" si="1269"/>
        <v>2.4903846153846154</v>
      </c>
      <c r="F411" s="158">
        <f t="shared" si="1269"/>
        <v>3.4469873890705274</v>
      </c>
      <c r="G411" s="158">
        <f t="shared" si="1254"/>
        <v>2.9375351716375917</v>
      </c>
      <c r="H411" s="158">
        <f t="shared" si="1265"/>
        <v>3.4444013948082142</v>
      </c>
      <c r="I411" s="158">
        <f t="shared" si="1241"/>
        <v>3.1115618661257609</v>
      </c>
      <c r="J411" s="180">
        <f t="shared" si="1255"/>
        <v>3.6402027027027026</v>
      </c>
      <c r="K411" s="181"/>
      <c r="L411" s="127"/>
      <c r="M411" s="2"/>
      <c r="N411" s="133" t="s">
        <v>8</v>
      </c>
      <c r="O411" s="158">
        <f t="shared" ref="O411:U411" si="1270">+O250/O89</f>
        <v>2.8582196718453798</v>
      </c>
      <c r="P411" s="158">
        <f t="shared" si="1270"/>
        <v>2.9720922459893049</v>
      </c>
      <c r="Q411" s="158">
        <f t="shared" si="1270"/>
        <v>3.1375667386118371</v>
      </c>
      <c r="R411" s="158">
        <f t="shared" si="1270"/>
        <v>2.9634002361275091</v>
      </c>
      <c r="S411" s="158">
        <f t="shared" si="1270"/>
        <v>2.4208126150380487</v>
      </c>
      <c r="T411" s="158">
        <f t="shared" si="1270"/>
        <v>2.9084119904574219</v>
      </c>
      <c r="U411" s="158">
        <f t="shared" si="1270"/>
        <v>2.8586558381288878</v>
      </c>
      <c r="V411" s="158">
        <f t="shared" si="1236"/>
        <v>3.2075349559813566</v>
      </c>
      <c r="W411" s="180">
        <f t="shared" si="1253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271">+B251/B90</f>
        <v>3.2261640798226163</v>
      </c>
      <c r="C412" s="158">
        <f t="shared" si="1271"/>
        <v>3.3725305738476008</v>
      </c>
      <c r="D412" s="158">
        <f t="shared" si="1271"/>
        <v>2.8324531925108012</v>
      </c>
      <c r="E412" s="158">
        <f t="shared" si="1271"/>
        <v>2.4974789915966387</v>
      </c>
      <c r="F412" s="158">
        <f t="shared" si="1271"/>
        <v>3.4090909090909092</v>
      </c>
      <c r="G412" s="158">
        <f t="shared" si="1254"/>
        <v>2.8496794110662553</v>
      </c>
      <c r="H412" s="158">
        <f t="shared" si="1265"/>
        <v>3.311827956989247</v>
      </c>
      <c r="I412" s="158">
        <f t="shared" si="1241"/>
        <v>3.2063837504533912</v>
      </c>
      <c r="J412" s="180">
        <f t="shared" si="1255"/>
        <v>3.349514563106796</v>
      </c>
      <c r="K412" s="181"/>
      <c r="L412" s="127"/>
      <c r="M412" s="2"/>
      <c r="N412" s="133" t="s">
        <v>9</v>
      </c>
      <c r="O412" s="158">
        <f t="shared" ref="O412:U412" si="1272">+O251/O90</f>
        <v>2.8883741546977446</v>
      </c>
      <c r="P412" s="158">
        <f t="shared" si="1272"/>
        <v>2.9767297021854833</v>
      </c>
      <c r="Q412" s="158">
        <f t="shared" si="1272"/>
        <v>3.1052915920270694</v>
      </c>
      <c r="R412" s="158">
        <f t="shared" si="1272"/>
        <v>2.9297418223592722</v>
      </c>
      <c r="S412" s="158">
        <f t="shared" si="1272"/>
        <v>2.4602042562902953</v>
      </c>
      <c r="T412" s="158">
        <f t="shared" si="1272"/>
        <v>2.8825916834763166</v>
      </c>
      <c r="U412" s="158">
        <f t="shared" si="1272"/>
        <v>2.8828646885022673</v>
      </c>
      <c r="V412" s="158">
        <f t="shared" si="1236"/>
        <v>3.1996935648621041</v>
      </c>
      <c r="W412" s="180">
        <f t="shared" si="1253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273">+B252/B91</f>
        <v>2.8883741546977451</v>
      </c>
      <c r="C413" s="182">
        <f t="shared" si="1273"/>
        <v>2.9767297021854833</v>
      </c>
      <c r="D413" s="182">
        <f t="shared" si="1273"/>
        <v>3.1052915920270694</v>
      </c>
      <c r="E413" s="182">
        <f t="shared" si="1273"/>
        <v>2.9297418223592722</v>
      </c>
      <c r="F413" s="182">
        <f t="shared" si="1273"/>
        <v>2.4602042562902953</v>
      </c>
      <c r="G413" s="182">
        <f t="shared" si="1254"/>
        <v>2.8825916834763166</v>
      </c>
      <c r="H413" s="182">
        <f t="shared" ref="H413" si="1274">+H252/H91</f>
        <v>2.8828646885022673</v>
      </c>
      <c r="I413" s="182">
        <f t="shared" ref="I413" si="1275">+I252/I91</f>
        <v>3.1996935648621041</v>
      </c>
      <c r="J413" s="183">
        <f t="shared" ref="J413" si="1276">+J252/J91</f>
        <v>3.4447945251888736</v>
      </c>
      <c r="K413" s="183"/>
      <c r="L413" s="137"/>
      <c r="M413" s="3"/>
      <c r="N413" s="134" t="s">
        <v>14</v>
      </c>
      <c r="O413" s="182">
        <f t="shared" ref="O413:W413" si="1277">+O252/O91</f>
        <v>2.8652529999006568</v>
      </c>
      <c r="P413" s="182">
        <f t="shared" si="1277"/>
        <v>2.9271654908285916</v>
      </c>
      <c r="Q413" s="182">
        <f t="shared" si="1277"/>
        <v>3.0942082927424734</v>
      </c>
      <c r="R413" s="182">
        <f t="shared" si="1277"/>
        <v>3.0556101347499665</v>
      </c>
      <c r="S413" s="182">
        <f t="shared" si="1277"/>
        <v>2.5845262522631263</v>
      </c>
      <c r="T413" s="182">
        <f t="shared" si="1277"/>
        <v>2.7163489550131272</v>
      </c>
      <c r="U413" s="182">
        <f t="shared" si="1277"/>
        <v>2.8679081209978312</v>
      </c>
      <c r="V413" s="182">
        <f t="shared" si="1277"/>
        <v>3.0475882816591287</v>
      </c>
      <c r="W413" s="183">
        <f t="shared" si="1277"/>
        <v>3.3210760964828707</v>
      </c>
      <c r="X413" s="183">
        <f t="shared" ref="X413" si="1278">+X252/X91</f>
        <v>3.4453246118886316</v>
      </c>
      <c r="Y413" s="149">
        <f>+X413/W413-1</f>
        <v>3.7412125406383945E-2</v>
      </c>
      <c r="Z413" s="156">
        <f>+POWER(X413/S413,0.2)-1</f>
        <v>5.9180166200790252E-2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279">+C413/C$485</f>
        <v>0.78915128879839558</v>
      </c>
      <c r="D414" s="138">
        <f t="shared" ref="D414" si="1280">+D413/D$485</f>
        <v>0.81624676417185704</v>
      </c>
      <c r="E414" s="138">
        <f t="shared" ref="E414" si="1281">+E413/E$485</f>
        <v>0.86156352509329825</v>
      </c>
      <c r="F414" s="138">
        <f t="shared" ref="F414:G414" si="1282">+F413/F$485</f>
        <v>0.89474292726540916</v>
      </c>
      <c r="G414" s="138">
        <f t="shared" si="1282"/>
        <v>0.94240679830179064</v>
      </c>
      <c r="H414" s="138">
        <f t="shared" ref="H414" si="1283">+H413/H$485</f>
        <v>0.8874468047357007</v>
      </c>
      <c r="I414" s="138">
        <f t="shared" ref="I414" si="1284">+I413/I$485</f>
        <v>0.9052368449414725</v>
      </c>
      <c r="J414" s="139">
        <f t="shared" ref="J414" si="1285">+J413/J$485</f>
        <v>0.97021740608235629</v>
      </c>
      <c r="K414" s="139"/>
      <c r="L414" s="140"/>
      <c r="M414" s="3"/>
      <c r="N414" s="135" t="s">
        <v>15</v>
      </c>
      <c r="O414" s="138">
        <f t="shared" ref="O414" si="1286">+O413/O$485</f>
        <v>0.8404433227884186</v>
      </c>
      <c r="P414" s="138">
        <f t="shared" ref="P414" si="1287">+P413/P$485</f>
        <v>0.80954065763748584</v>
      </c>
      <c r="Q414" s="138">
        <f t="shared" ref="Q414" si="1288">+Q413/Q$485</f>
        <v>0.80179243384400212</v>
      </c>
      <c r="R414" s="138">
        <f t="shared" ref="R414" si="1289">+R413/R$485</f>
        <v>0.85116661000461424</v>
      </c>
      <c r="S414" s="138">
        <f t="shared" ref="S414:W414" si="1290">+S413/S$485</f>
        <v>0.86095025686358373</v>
      </c>
      <c r="T414" s="138">
        <f t="shared" si="1290"/>
        <v>0.93746143000254878</v>
      </c>
      <c r="U414" s="138">
        <f t="shared" si="1290"/>
        <v>0.91144604451800926</v>
      </c>
      <c r="V414" s="138">
        <f t="shared" si="1290"/>
        <v>0.89513045986188589</v>
      </c>
      <c r="W414" s="139">
        <f t="shared" si="1290"/>
        <v>0.93699072506038295</v>
      </c>
      <c r="X414" s="139">
        <f t="shared" ref="X414" si="1291">+X413/X$485</f>
        <v>0.96366261996473601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292">+D413/C413-1</f>
        <v>4.3188970012022709E-2</v>
      </c>
      <c r="E415" s="142">
        <f t="shared" ref="E415" si="1293">+E413/D413-1</f>
        <v>-5.6532459018833081E-2</v>
      </c>
      <c r="F415" s="142">
        <f t="shared" ref="F415:J415" si="1294">+F413/E413-1</f>
        <v>-0.16026585089701395</v>
      </c>
      <c r="G415" s="142">
        <f t="shared" si="1294"/>
        <v>0.17168795074882648</v>
      </c>
      <c r="H415" s="142">
        <f t="shared" si="1294"/>
        <v>9.4708184830816222E-5</v>
      </c>
      <c r="I415" s="142">
        <f t="shared" si="1294"/>
        <v>0.10990071009001778</v>
      </c>
      <c r="J415" s="143">
        <f t="shared" si="1294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295">+Q413/P413-1</f>
        <v>5.7066401758718799E-2</v>
      </c>
      <c r="R415" s="142">
        <f t="shared" ref="R415" si="1296">+R413/Q413-1</f>
        <v>-1.2474324396014258E-2</v>
      </c>
      <c r="S415" s="142">
        <f t="shared" ref="S415" si="1297">+S413/R413-1</f>
        <v>-0.15417015316497107</v>
      </c>
      <c r="T415" s="142">
        <f t="shared" ref="T415" si="1298">+T413/S413-1</f>
        <v>5.1004590351740875E-2</v>
      </c>
      <c r="U415" s="142">
        <f t="shared" ref="U415" si="1299">+U413/T413-1</f>
        <v>5.5795175249849782E-2</v>
      </c>
      <c r="V415" s="142">
        <f t="shared" ref="V415" si="1300">+V413/U413-1</f>
        <v>6.2651993397466743E-2</v>
      </c>
      <c r="W415" s="143">
        <f t="shared" ref="W415:X415" si="1301">+W413/V413-1</f>
        <v>8.9739095162438831E-2</v>
      </c>
      <c r="X415" s="143">
        <f t="shared" si="1301"/>
        <v>3.7412125406383945E-2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73" t="s">
        <v>92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93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302">+C418+1</f>
        <v>2018</v>
      </c>
      <c r="E418" s="129">
        <f t="shared" ref="E418" si="1303">+D418+1</f>
        <v>2019</v>
      </c>
      <c r="F418" s="129">
        <f t="shared" ref="F418" si="1304">+E418+1</f>
        <v>2020</v>
      </c>
      <c r="G418" s="129">
        <f t="shared" ref="G418" si="1305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306">+P418+1</f>
        <v>2018</v>
      </c>
      <c r="R418" s="129">
        <f t="shared" ref="R418" si="1307">+Q418+1</f>
        <v>2019</v>
      </c>
      <c r="S418" s="129">
        <f t="shared" ref="S418" si="1308">+R418+1</f>
        <v>2020</v>
      </c>
      <c r="T418" s="129">
        <f t="shared" ref="T418" si="1309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310">+C258/C97</f>
        <v>3.4475597092419523</v>
      </c>
      <c r="D419" s="158">
        <f t="shared" si="1310"/>
        <v>3.6494642197314944</v>
      </c>
      <c r="E419" s="158">
        <f t="shared" si="1310"/>
        <v>2.8140439398717545</v>
      </c>
      <c r="F419" s="158">
        <f t="shared" si="1310"/>
        <v>2.324437636055793</v>
      </c>
      <c r="G419" s="158">
        <f t="shared" si="1310"/>
        <v>4.1324849448926262</v>
      </c>
      <c r="H419" s="158">
        <f t="shared" si="1310"/>
        <v>1.9325210871602623</v>
      </c>
      <c r="I419" s="158">
        <f t="shared" ref="I419:J419" si="1311">+I258/I97</f>
        <v>4.0295078002176803</v>
      </c>
      <c r="J419" s="180">
        <f t="shared" si="1311"/>
        <v>3.8907849829351533</v>
      </c>
      <c r="K419" s="181">
        <f t="shared" ref="K419" si="1312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313">+P258/P97</f>
        <v>3.2744682758223504</v>
      </c>
      <c r="Q419" s="158">
        <f t="shared" si="1313"/>
        <v>3.5000296906237023</v>
      </c>
      <c r="R419" s="158">
        <f t="shared" si="1313"/>
        <v>3.5346520476209959</v>
      </c>
      <c r="S419" s="158">
        <f t="shared" si="1313"/>
        <v>2.9833466270272884</v>
      </c>
      <c r="T419" s="158">
        <f t="shared" si="1313"/>
        <v>2.576376559629928</v>
      </c>
      <c r="U419" s="158">
        <f t="shared" si="1313"/>
        <v>2.5922130594942105</v>
      </c>
      <c r="V419" s="158">
        <f t="shared" si="1313"/>
        <v>3.0012726512239762</v>
      </c>
      <c r="W419" s="180">
        <f t="shared" si="1313"/>
        <v>4.1261240880040724</v>
      </c>
      <c r="X419" s="181">
        <f t="shared" ref="X419" si="1314">+X258/X97</f>
        <v>4.098159901179879</v>
      </c>
      <c r="Y419" s="147">
        <f t="shared" ref="Y419:Y425" si="1315">+X419/W419-1</f>
        <v>-6.7773499361044598E-3</v>
      </c>
      <c r="Z419" s="127">
        <f t="shared" ref="Z419:Z425" si="1316">+POWER(X419/S419,0.2)-1</f>
        <v>6.5557859499263849E-2</v>
      </c>
    </row>
    <row r="420" spans="1:26" x14ac:dyDescent="0.25">
      <c r="A420" s="133" t="s">
        <v>11</v>
      </c>
      <c r="B420" s="158">
        <f t="shared" ref="B420:G420" si="1317">+B259/B98</f>
        <v>3.1011565359456021</v>
      </c>
      <c r="C420" s="158">
        <f t="shared" si="1317"/>
        <v>3.3882949809748149</v>
      </c>
      <c r="D420" s="158">
        <f t="shared" si="1317"/>
        <v>3.0322755627881746</v>
      </c>
      <c r="E420" s="158">
        <f t="shared" si="1317"/>
        <v>2.8629524196827978</v>
      </c>
      <c r="F420" s="158">
        <f t="shared" si="1317"/>
        <v>2.5644028103044496</v>
      </c>
      <c r="G420" s="158">
        <f t="shared" si="1317"/>
        <v>2.4827403080191188</v>
      </c>
      <c r="H420" s="158">
        <f t="shared" si="1310"/>
        <v>2.3662830416732357</v>
      </c>
      <c r="I420" s="158">
        <f>+I259/I98</f>
        <v>3.3932542624166051</v>
      </c>
      <c r="J420" s="180">
        <f t="shared" ref="J420:K422" si="1318">+J259/J98</f>
        <v>3.6011602610587383</v>
      </c>
      <c r="K420" s="181">
        <f t="shared" si="1318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319">+O259/O98</f>
        <v>3.2040132526993967</v>
      </c>
      <c r="P420" s="158">
        <f t="shared" si="1319"/>
        <v>3.2918659442046434</v>
      </c>
      <c r="Q420" s="158">
        <f t="shared" si="1319"/>
        <v>3.4725016278414338</v>
      </c>
      <c r="R420" s="158">
        <f t="shared" si="1319"/>
        <v>3.5218614165175151</v>
      </c>
      <c r="S420" s="158">
        <f t="shared" si="1319"/>
        <v>2.9539125809580429</v>
      </c>
      <c r="T420" s="158">
        <f t="shared" si="1319"/>
        <v>2.5707010277649949</v>
      </c>
      <c r="U420" s="158">
        <f t="shared" si="1319"/>
        <v>2.5763575363459394</v>
      </c>
      <c r="V420" s="158">
        <f t="shared" si="1313"/>
        <v>3.1052640946203596</v>
      </c>
      <c r="W420" s="180">
        <f t="shared" si="1313"/>
        <v>4.1298496173696382</v>
      </c>
      <c r="X420" s="181">
        <f t="shared" ref="X420:X422" si="1320">+X259/X98</f>
        <v>4.1184290937161601</v>
      </c>
      <c r="Y420" s="147">
        <f t="shared" si="1315"/>
        <v>-2.7653606575515077E-3</v>
      </c>
      <c r="Z420" s="127">
        <f t="shared" si="1316"/>
        <v>6.872702343678605E-2</v>
      </c>
    </row>
    <row r="421" spans="1:26" x14ac:dyDescent="0.25">
      <c r="A421" s="133" t="s">
        <v>0</v>
      </c>
      <c r="B421" s="158">
        <f t="shared" ref="B421:G421" si="1321">+B260/B99</f>
        <v>3.0566685272769258</v>
      </c>
      <c r="C421" s="158">
        <f t="shared" si="1321"/>
        <v>3.1610123855681209</v>
      </c>
      <c r="D421" s="158">
        <f t="shared" si="1321"/>
        <v>3.4825688073394496</v>
      </c>
      <c r="E421" s="158">
        <f t="shared" si="1321"/>
        <v>3.6346222913923141</v>
      </c>
      <c r="F421" s="158">
        <f t="shared" si="1321"/>
        <v>2.9294346137246441</v>
      </c>
      <c r="G421" s="158">
        <f t="shared" si="1321"/>
        <v>2.920651924401255</v>
      </c>
      <c r="H421" s="158">
        <f t="shared" si="1310"/>
        <v>2.5783859279800825</v>
      </c>
      <c r="I421" s="158">
        <f>+I260/I99</f>
        <v>4.1508070344495298</v>
      </c>
      <c r="J421" s="180">
        <f t="shared" ref="J421" si="1322">+J260/J99</f>
        <v>4.3820007724990342</v>
      </c>
      <c r="K421" s="181">
        <f t="shared" si="1318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323">+O260/O99</f>
        <v>3.1808676329017245</v>
      </c>
      <c r="P421" s="158">
        <f t="shared" si="1323"/>
        <v>3.3012232452478747</v>
      </c>
      <c r="Q421" s="158">
        <f t="shared" si="1323"/>
        <v>3.5017241887470898</v>
      </c>
      <c r="R421" s="158">
        <f t="shared" si="1323"/>
        <v>3.534756464835175</v>
      </c>
      <c r="S421" s="158">
        <f t="shared" si="1323"/>
        <v>2.9079908977236539</v>
      </c>
      <c r="T421" s="158">
        <f t="shared" si="1323"/>
        <v>2.5781887082074162</v>
      </c>
      <c r="U421" s="158">
        <f t="shared" si="1323"/>
        <v>2.5534246744031042</v>
      </c>
      <c r="V421" s="158">
        <f t="shared" si="1313"/>
        <v>3.232087268746751</v>
      </c>
      <c r="W421" s="180">
        <f t="shared" si="1313"/>
        <v>4.142890066835677</v>
      </c>
      <c r="X421" s="181">
        <f t="shared" si="1320"/>
        <v>4.1048108517988036</v>
      </c>
      <c r="Y421" s="147">
        <f t="shared" si="1315"/>
        <v>-9.1914616179903375E-3</v>
      </c>
      <c r="Z421" s="127">
        <f t="shared" si="1316"/>
        <v>7.1371332380587793E-2</v>
      </c>
    </row>
    <row r="422" spans="1:26" x14ac:dyDescent="0.25">
      <c r="A422" s="133" t="s">
        <v>1</v>
      </c>
      <c r="B422" s="158">
        <f t="shared" ref="B422:H422" si="1324">+B261/B100</f>
        <v>3.299750102315429</v>
      </c>
      <c r="C422" s="158">
        <f t="shared" si="1324"/>
        <v>3.4982544841699772</v>
      </c>
      <c r="D422" s="158">
        <f t="shared" si="1324"/>
        <v>3.5824315722469766</v>
      </c>
      <c r="E422" s="158">
        <f t="shared" si="1324"/>
        <v>3.3113365507731705</v>
      </c>
      <c r="F422" s="158">
        <f t="shared" si="1324"/>
        <v>2.4005178139246919</v>
      </c>
      <c r="G422" s="158">
        <f t="shared" si="1324"/>
        <v>2.7333333333333334</v>
      </c>
      <c r="H422" s="158">
        <f t="shared" si="1324"/>
        <v>1.9534909125667392</v>
      </c>
      <c r="I422" s="158">
        <f>+I261/I100</f>
        <v>3.9662396743684902</v>
      </c>
      <c r="J422" s="180">
        <f t="shared" ref="J422:K430" si="1325">+J261/J100</f>
        <v>4.1425928561263694</v>
      </c>
      <c r="K422" s="181">
        <f t="shared" si="1318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326">+O261/O100</f>
        <v>3.2021316709402474</v>
      </c>
      <c r="P422" s="158">
        <f t="shared" si="1326"/>
        <v>3.3165150167455097</v>
      </c>
      <c r="Q422" s="158">
        <f t="shared" si="1326"/>
        <v>3.5082646666995609</v>
      </c>
      <c r="R422" s="158">
        <f t="shared" si="1326"/>
        <v>3.508393931232606</v>
      </c>
      <c r="S422" s="158">
        <f t="shared" si="1326"/>
        <v>2.8118469198448377</v>
      </c>
      <c r="T422" s="158">
        <f t="shared" si="1326"/>
        <v>2.6108407636276612</v>
      </c>
      <c r="U422" s="158">
        <f t="shared" si="1326"/>
        <v>2.4761009246199661</v>
      </c>
      <c r="V422" s="158">
        <f t="shared" si="1313"/>
        <v>3.5261043507351455</v>
      </c>
      <c r="W422" s="180">
        <f t="shared" si="1313"/>
        <v>4.160132937018747</v>
      </c>
      <c r="X422" s="181">
        <f t="shared" si="1320"/>
        <v>4.061291282356442</v>
      </c>
      <c r="Y422" s="147">
        <f t="shared" si="1315"/>
        <v>-2.3759253888924414E-2</v>
      </c>
      <c r="Z422" s="127">
        <f t="shared" si="1316"/>
        <v>7.6302856968593291E-2</v>
      </c>
    </row>
    <row r="423" spans="1:26" x14ac:dyDescent="0.25">
      <c r="A423" s="133" t="s">
        <v>2</v>
      </c>
      <c r="B423" s="158">
        <f t="shared" ref="B423:I423" si="1327">+B262/B101</f>
        <v>3.627414874177687</v>
      </c>
      <c r="C423" s="158">
        <f t="shared" si="1327"/>
        <v>3.3823881311318496</v>
      </c>
      <c r="D423" s="158">
        <f t="shared" si="1327"/>
        <v>3.6540820498841486</v>
      </c>
      <c r="E423" s="158">
        <f t="shared" si="1327"/>
        <v>3.5976618506672553</v>
      </c>
      <c r="F423" s="158">
        <f t="shared" si="1327"/>
        <v>2.0942812982998453</v>
      </c>
      <c r="G423" s="158">
        <f t="shared" si="1327"/>
        <v>2.1455693081512899</v>
      </c>
      <c r="H423" s="158">
        <f t="shared" si="1327"/>
        <v>3.9493775522012995</v>
      </c>
      <c r="I423" s="158">
        <f t="shared" si="1327"/>
        <v>4.8429510591672758</v>
      </c>
      <c r="J423" s="180">
        <f t="shared" si="1325"/>
        <v>4.89161554192229</v>
      </c>
      <c r="K423" s="181">
        <f t="shared" si="1325"/>
        <v>4.1467065868263475</v>
      </c>
      <c r="L423" s="127">
        <f t="shared" ref="L423:L424" si="1328">+K423/J423-1</f>
        <v>-0.1522828089640117</v>
      </c>
      <c r="M423" s="2"/>
      <c r="N423" s="133" t="s">
        <v>2</v>
      </c>
      <c r="O423" s="158">
        <f t="shared" ref="O423:U423" si="1329">+O262/O101</f>
        <v>3.2463619134147987</v>
      </c>
      <c r="P423" s="158">
        <f t="shared" si="1329"/>
        <v>3.2971714296547225</v>
      </c>
      <c r="Q423" s="158">
        <f t="shared" si="1329"/>
        <v>3.5294176286460517</v>
      </c>
      <c r="R423" s="158">
        <f t="shared" si="1329"/>
        <v>3.5058491287592788</v>
      </c>
      <c r="S423" s="158">
        <f t="shared" si="1329"/>
        <v>2.6948362163626771</v>
      </c>
      <c r="T423" s="158">
        <f t="shared" si="1329"/>
        <v>2.5946869605045273</v>
      </c>
      <c r="U423" s="158">
        <f t="shared" si="1329"/>
        <v>2.5807901889235216</v>
      </c>
      <c r="V423" s="158">
        <f t="shared" si="1313"/>
        <v>3.5714178105312797</v>
      </c>
      <c r="W423" s="180">
        <f t="shared" ref="W423:X430" si="1330">+W262/W101</f>
        <v>4.1681792795308574</v>
      </c>
      <c r="X423" s="181">
        <f t="shared" si="1330"/>
        <v>4.0071646865955595</v>
      </c>
      <c r="Y423" s="147">
        <f t="shared" si="1315"/>
        <v>-3.8629478757310265E-2</v>
      </c>
      <c r="Z423" s="127">
        <f t="shared" si="1316"/>
        <v>8.2582402320926729E-2</v>
      </c>
    </row>
    <row r="424" spans="1:26" x14ac:dyDescent="0.25">
      <c r="A424" s="133" t="s">
        <v>3</v>
      </c>
      <c r="B424" s="158">
        <f t="shared" ref="B424:I431" si="1331">+B263/B102</f>
        <v>3.2179962358700798</v>
      </c>
      <c r="C424" s="158">
        <f t="shared" si="1331"/>
        <v>3.3054781801299908</v>
      </c>
      <c r="D424" s="158">
        <f t="shared" si="1331"/>
        <v>3.4769047972671916</v>
      </c>
      <c r="E424" s="158">
        <f t="shared" si="1331"/>
        <v>3.9229919520277736</v>
      </c>
      <c r="F424" s="158">
        <f t="shared" si="1331"/>
        <v>2.2720951792336215</v>
      </c>
      <c r="G424" s="158">
        <f t="shared" si="1331"/>
        <v>2.5395331325301203</v>
      </c>
      <c r="H424" s="158">
        <f t="shared" si="1331"/>
        <v>2.762432181061909</v>
      </c>
      <c r="I424" s="158">
        <f t="shared" si="1331"/>
        <v>4.6553636507684999</v>
      </c>
      <c r="J424" s="180">
        <f t="shared" si="1325"/>
        <v>4.2994668246445498</v>
      </c>
      <c r="K424" s="181">
        <f t="shared" si="1325"/>
        <v>4.2423766111285754</v>
      </c>
      <c r="L424" s="127">
        <f t="shared" si="1328"/>
        <v>-1.3278440291417781E-2</v>
      </c>
      <c r="M424" s="2"/>
      <c r="N424" s="133" t="s">
        <v>3</v>
      </c>
      <c r="O424" s="158">
        <f t="shared" ref="O424:U424" si="1332">+O263/O102</f>
        <v>3.2487626172313289</v>
      </c>
      <c r="P424" s="158">
        <f t="shared" si="1332"/>
        <v>3.3042028133651167</v>
      </c>
      <c r="Q424" s="158">
        <f t="shared" si="1332"/>
        <v>3.5507961403034995</v>
      </c>
      <c r="R424" s="158">
        <f t="shared" si="1332"/>
        <v>3.533789437416941</v>
      </c>
      <c r="S424" s="158">
        <f t="shared" si="1332"/>
        <v>2.6045773664821286</v>
      </c>
      <c r="T424" s="158">
        <f t="shared" si="1332"/>
        <v>2.6137111200877143</v>
      </c>
      <c r="U424" s="158">
        <f t="shared" si="1332"/>
        <v>2.5997643716834862</v>
      </c>
      <c r="V424" s="158">
        <f t="shared" si="1313"/>
        <v>3.7652037057919796</v>
      </c>
      <c r="W424" s="180">
        <f t="shared" si="1330"/>
        <v>4.1428488742258489</v>
      </c>
      <c r="X424" s="181">
        <f t="shared" si="1330"/>
        <v>4.0023164140285292</v>
      </c>
      <c r="Y424" s="147">
        <f t="shared" si="1315"/>
        <v>-3.3921696027007564E-2</v>
      </c>
      <c r="Z424" s="127">
        <f t="shared" si="1316"/>
        <v>8.9719773727175989E-2</v>
      </c>
    </row>
    <row r="425" spans="1:26" x14ac:dyDescent="0.25">
      <c r="A425" s="133" t="s">
        <v>4</v>
      </c>
      <c r="B425" s="158">
        <f t="shared" ref="B425:F425" si="1333">+B264/B103</f>
        <v>3.0298684567398975</v>
      </c>
      <c r="C425" s="158">
        <f t="shared" si="1333"/>
        <v>3.5531660692951021</v>
      </c>
      <c r="D425" s="158">
        <f t="shared" si="1333"/>
        <v>3.3634827551933206</v>
      </c>
      <c r="E425" s="158">
        <f t="shared" si="1333"/>
        <v>3.5822316234796405</v>
      </c>
      <c r="F425" s="158">
        <f t="shared" si="1333"/>
        <v>1.7640111250809618</v>
      </c>
      <c r="G425" s="158">
        <f t="shared" si="1331"/>
        <v>2.6644457904300425</v>
      </c>
      <c r="H425" s="158">
        <f t="shared" ref="H425:I425" si="1334">+H264/H103</f>
        <v>3.4514893952565586</v>
      </c>
      <c r="I425" s="158">
        <f t="shared" si="1334"/>
        <v>3.9108685766257385</v>
      </c>
      <c r="J425" s="180">
        <f t="shared" si="1325"/>
        <v>4.3907333090113099</v>
      </c>
      <c r="K425" s="181">
        <f t="shared" si="1325"/>
        <v>4.4663133989401969</v>
      </c>
      <c r="L425" s="127">
        <f t="shared" ref="L425" si="1335">+K425/J425-1</f>
        <v>1.7213546031996652E-2</v>
      </c>
      <c r="M425" s="2"/>
      <c r="N425" s="133" t="s">
        <v>4</v>
      </c>
      <c r="O425" s="158">
        <f t="shared" ref="O425:U425" si="1336">+O264/O103</f>
        <v>3.2365066166270573</v>
      </c>
      <c r="P425" s="158">
        <f t="shared" si="1336"/>
        <v>3.3453023876158823</v>
      </c>
      <c r="Q425" s="158">
        <f t="shared" si="1336"/>
        <v>3.5313571778539932</v>
      </c>
      <c r="R425" s="158">
        <f t="shared" si="1336"/>
        <v>3.5552936749225084</v>
      </c>
      <c r="S425" s="158">
        <f t="shared" si="1336"/>
        <v>2.4132726328332677</v>
      </c>
      <c r="T425" s="158">
        <f t="shared" si="1336"/>
        <v>2.7551925064046521</v>
      </c>
      <c r="U425" s="158">
        <f t="shared" si="1336"/>
        <v>2.6410621662417051</v>
      </c>
      <c r="V425" s="158">
        <f t="shared" si="1313"/>
        <v>3.8091248618392299</v>
      </c>
      <c r="W425" s="180">
        <f t="shared" si="1330"/>
        <v>4.1965828373968135</v>
      </c>
      <c r="X425" s="181">
        <f t="shared" si="1330"/>
        <v>3.996226019498899</v>
      </c>
      <c r="Y425" s="147">
        <f t="shared" si="1315"/>
        <v>-4.7742848327092191E-2</v>
      </c>
      <c r="Z425" s="127">
        <f t="shared" si="1316"/>
        <v>0.10613651975980987</v>
      </c>
    </row>
    <row r="426" spans="1:26" x14ac:dyDescent="0.25">
      <c r="A426" s="133" t="s">
        <v>5</v>
      </c>
      <c r="B426" s="158">
        <f t="shared" ref="B426:F426" si="1337">+B265/B104</f>
        <v>3.1294230529987037</v>
      </c>
      <c r="C426" s="158">
        <f t="shared" si="1337"/>
        <v>3.2568020263093391</v>
      </c>
      <c r="D426" s="158">
        <f t="shared" si="1337"/>
        <v>3.755868544600939</v>
      </c>
      <c r="E426" s="158">
        <f t="shared" si="1337"/>
        <v>2.8414111889062603</v>
      </c>
      <c r="F426" s="158">
        <f t="shared" si="1337"/>
        <v>2.879387204118792</v>
      </c>
      <c r="G426" s="158">
        <f t="shared" si="1331"/>
        <v>2.7676992599384374</v>
      </c>
      <c r="H426" s="158">
        <f t="shared" ref="H426:I426" si="1338">+H265/H104</f>
        <v>3.1705579443813834</v>
      </c>
      <c r="I426" s="158">
        <f t="shared" si="1338"/>
        <v>3.875314408911247</v>
      </c>
      <c r="J426" s="180">
        <f t="shared" si="1325"/>
        <v>3.8369876072449958</v>
      </c>
      <c r="K426" s="181"/>
      <c r="L426" s="127"/>
      <c r="M426" s="2"/>
      <c r="N426" s="133" t="s">
        <v>5</v>
      </c>
      <c r="O426" s="158">
        <f t="shared" ref="O426:U426" si="1339">+O265/O104</f>
        <v>3.2727683693719731</v>
      </c>
      <c r="P426" s="158">
        <f t="shared" si="1339"/>
        <v>3.3632271427754112</v>
      </c>
      <c r="Q426" s="158">
        <f t="shared" si="1339"/>
        <v>3.5895610665047579</v>
      </c>
      <c r="R426" s="158">
        <f t="shared" si="1339"/>
        <v>3.4375590224001811</v>
      </c>
      <c r="S426" s="158">
        <f t="shared" si="1339"/>
        <v>2.4200993564275355</v>
      </c>
      <c r="T426" s="158">
        <f t="shared" si="1339"/>
        <v>2.7442217379293412</v>
      </c>
      <c r="U426" s="158">
        <f t="shared" si="1339"/>
        <v>2.6713154882070955</v>
      </c>
      <c r="V426" s="158">
        <f t="shared" si="1313"/>
        <v>3.9078271326387592</v>
      </c>
      <c r="W426" s="180">
        <f t="shared" si="1330"/>
        <v>4.1943556551512318</v>
      </c>
      <c r="X426" s="181"/>
      <c r="Y426" s="147"/>
      <c r="Z426" s="127"/>
    </row>
    <row r="427" spans="1:26" x14ac:dyDescent="0.25">
      <c r="A427" s="133" t="s">
        <v>6</v>
      </c>
      <c r="B427" s="158">
        <f t="shared" ref="B427:F427" si="1340">+B266/B105</f>
        <v>3.6036190053285968</v>
      </c>
      <c r="C427" s="158">
        <f t="shared" si="1340"/>
        <v>3.6696245733788397</v>
      </c>
      <c r="D427" s="158">
        <f t="shared" si="1340"/>
        <v>3.8656941649899395</v>
      </c>
      <c r="E427" s="158">
        <f t="shared" si="1340"/>
        <v>3.3340683572216094</v>
      </c>
      <c r="F427" s="158">
        <f t="shared" si="1340"/>
        <v>2.3714266851521755</v>
      </c>
      <c r="G427" s="158">
        <f t="shared" si="1331"/>
        <v>3.4775534353967901</v>
      </c>
      <c r="H427" s="158">
        <f t="shared" ref="H427:I430" si="1341">+H266/H105</f>
        <v>3.4700661961198325</v>
      </c>
      <c r="I427" s="158">
        <f t="shared" si="1341"/>
        <v>4.1009221311475406</v>
      </c>
      <c r="J427" s="180">
        <f t="shared" si="1325"/>
        <v>3.9867234468937873</v>
      </c>
      <c r="K427" s="181"/>
      <c r="L427" s="127"/>
      <c r="M427" s="2"/>
      <c r="N427" s="133" t="s">
        <v>6</v>
      </c>
      <c r="O427" s="158">
        <f t="shared" ref="O427:U427" si="1342">+O266/O105</f>
        <v>3.2625213408554847</v>
      </c>
      <c r="P427" s="158">
        <f t="shared" si="1342"/>
        <v>3.3639692363885727</v>
      </c>
      <c r="Q427" s="158">
        <f t="shared" si="1342"/>
        <v>3.6062982299228321</v>
      </c>
      <c r="R427" s="158">
        <f t="shared" si="1342"/>
        <v>3.3969722455845246</v>
      </c>
      <c r="S427" s="158">
        <f t="shared" si="1342"/>
        <v>2.3672910645965204</v>
      </c>
      <c r="T427" s="158">
        <f t="shared" si="1342"/>
        <v>2.8407195431236012</v>
      </c>
      <c r="U427" s="158">
        <f t="shared" si="1342"/>
        <v>2.6566266793894329</v>
      </c>
      <c r="V427" s="158">
        <f t="shared" si="1313"/>
        <v>3.9699064118534397</v>
      </c>
      <c r="W427" s="180">
        <f t="shared" si="1330"/>
        <v>4.1838182705734104</v>
      </c>
      <c r="X427" s="181"/>
      <c r="Y427" s="147"/>
      <c r="Z427" s="127"/>
    </row>
    <row r="428" spans="1:26" x14ac:dyDescent="0.25">
      <c r="A428" s="133" t="s">
        <v>7</v>
      </c>
      <c r="B428" s="158">
        <f t="shared" ref="B428:F428" si="1343">+B267/B106</f>
        <v>3.5260046013666506</v>
      </c>
      <c r="C428" s="158">
        <f t="shared" si="1343"/>
        <v>4.0435805373282161</v>
      </c>
      <c r="D428" s="158">
        <f t="shared" si="1343"/>
        <v>3.8527123521261859</v>
      </c>
      <c r="E428" s="158">
        <f t="shared" si="1343"/>
        <v>3.0205970420107069</v>
      </c>
      <c r="F428" s="158">
        <f t="shared" si="1343"/>
        <v>3.3952106924076482</v>
      </c>
      <c r="G428" s="158">
        <f t="shared" si="1331"/>
        <v>2.9660278745644604</v>
      </c>
      <c r="H428" s="158">
        <f t="shared" si="1341"/>
        <v>3.7558215480885124</v>
      </c>
      <c r="I428" s="158">
        <f t="shared" si="1341"/>
        <v>4.0637395705101902</v>
      </c>
      <c r="J428" s="180">
        <f t="shared" si="1325"/>
        <v>4.161318133920874</v>
      </c>
      <c r="K428" s="181"/>
      <c r="L428" s="127"/>
      <c r="M428" s="2"/>
      <c r="N428" s="133" t="s">
        <v>7</v>
      </c>
      <c r="O428" s="158">
        <f t="shared" ref="O428:U428" si="1344">+O267/O106</f>
        <v>3.2427586258634506</v>
      </c>
      <c r="P428" s="158">
        <f t="shared" si="1344"/>
        <v>3.4011614001855941</v>
      </c>
      <c r="Q428" s="158">
        <f t="shared" si="1344"/>
        <v>3.5937820644366925</v>
      </c>
      <c r="R428" s="158">
        <f t="shared" si="1344"/>
        <v>3.319435240409395</v>
      </c>
      <c r="S428" s="158">
        <f t="shared" si="1344"/>
        <v>2.3899912707758468</v>
      </c>
      <c r="T428" s="158">
        <f t="shared" si="1344"/>
        <v>2.8148608092724827</v>
      </c>
      <c r="U428" s="158">
        <f t="shared" si="1344"/>
        <v>2.6879070541378507</v>
      </c>
      <c r="V428" s="158">
        <f t="shared" si="1313"/>
        <v>3.9971056743464182</v>
      </c>
      <c r="W428" s="180">
        <f t="shared" si="1330"/>
        <v>4.190867730088252</v>
      </c>
      <c r="X428" s="181"/>
      <c r="Y428" s="147"/>
      <c r="Z428" s="127"/>
    </row>
    <row r="429" spans="1:26" x14ac:dyDescent="0.25">
      <c r="A429" s="133" t="s">
        <v>8</v>
      </c>
      <c r="B429" s="158">
        <f t="shared" ref="B429:F429" si="1345">+B268/B107</f>
        <v>3.2949110974862044</v>
      </c>
      <c r="C429" s="158">
        <f t="shared" si="1345"/>
        <v>3.4860018062185523</v>
      </c>
      <c r="D429" s="158">
        <f t="shared" si="1345"/>
        <v>3.9161978087059519</v>
      </c>
      <c r="E429" s="158">
        <f t="shared" si="1345"/>
        <v>2.845689296126614</v>
      </c>
      <c r="F429" s="158">
        <f t="shared" si="1345"/>
        <v>2.8667713045886809</v>
      </c>
      <c r="G429" s="158">
        <f t="shared" si="1331"/>
        <v>2.9957321076822061</v>
      </c>
      <c r="H429" s="158">
        <f t="shared" si="1341"/>
        <v>3.2689175985235046</v>
      </c>
      <c r="I429" s="158">
        <f t="shared" si="1341"/>
        <v>4.4985549132947984</v>
      </c>
      <c r="J429" s="180">
        <f t="shared" si="1325"/>
        <v>3.899986223997796</v>
      </c>
      <c r="K429" s="181"/>
      <c r="L429" s="127"/>
      <c r="M429" s="2"/>
      <c r="N429" s="133" t="s">
        <v>8</v>
      </c>
      <c r="O429" s="158">
        <f t="shared" ref="O429:U429" si="1346">+O268/O107</f>
        <v>3.2672451438854475</v>
      </c>
      <c r="P429" s="158">
        <f t="shared" si="1346"/>
        <v>3.4157983193277306</v>
      </c>
      <c r="Q429" s="158">
        <f t="shared" si="1346"/>
        <v>3.6250168458372651</v>
      </c>
      <c r="R429" s="158">
        <f t="shared" si="1346"/>
        <v>3.2424796857342728</v>
      </c>
      <c r="S429" s="158">
        <f t="shared" si="1346"/>
        <v>2.3945718307565236</v>
      </c>
      <c r="T429" s="158">
        <f t="shared" si="1346"/>
        <v>2.8247717722069265</v>
      </c>
      <c r="U429" s="158">
        <f t="shared" si="1346"/>
        <v>2.6971146704860089</v>
      </c>
      <c r="V429" s="158">
        <f t="shared" si="1313"/>
        <v>4.1064597928396447</v>
      </c>
      <c r="W429" s="180">
        <f t="shared" si="1330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347">+B269/B108</f>
        <v>3.0295019562229037</v>
      </c>
      <c r="C430" s="158">
        <f t="shared" si="1347"/>
        <v>3.8832707310026002</v>
      </c>
      <c r="D430" s="158">
        <f t="shared" si="1347"/>
        <v>3.751645458534445</v>
      </c>
      <c r="E430" s="158">
        <f t="shared" si="1347"/>
        <v>1.9525591501690003</v>
      </c>
      <c r="F430" s="158">
        <f t="shared" si="1347"/>
        <v>2.9480554800108782</v>
      </c>
      <c r="G430" s="158">
        <f t="shared" si="1331"/>
        <v>2.1485433604336039</v>
      </c>
      <c r="H430" s="158">
        <f t="shared" si="1341"/>
        <v>3.9383606557377053</v>
      </c>
      <c r="I430" s="158">
        <f t="shared" si="1341"/>
        <v>4.3083224725377027</v>
      </c>
      <c r="J430" s="180">
        <f t="shared" si="1325"/>
        <v>3.7367605269956079</v>
      </c>
      <c r="K430" s="181"/>
      <c r="L430" s="127"/>
      <c r="M430" s="2"/>
      <c r="N430" s="133" t="s">
        <v>9</v>
      </c>
      <c r="O430" s="158">
        <f t="shared" ref="O430:U430" si="1348">+O269/O108</f>
        <v>3.2323845055672571</v>
      </c>
      <c r="P430" s="158">
        <f t="shared" si="1348"/>
        <v>3.4836105915936608</v>
      </c>
      <c r="Q430" s="158">
        <f t="shared" si="1348"/>
        <v>3.6154516590923245</v>
      </c>
      <c r="R430" s="158">
        <f t="shared" si="1348"/>
        <v>3.0374745316714646</v>
      </c>
      <c r="S430" s="158">
        <f t="shared" si="1348"/>
        <v>2.4752826344354224</v>
      </c>
      <c r="T430" s="158">
        <f t="shared" si="1348"/>
        <v>2.727527790403403</v>
      </c>
      <c r="U430" s="158">
        <f t="shared" si="1348"/>
        <v>2.839097943969719</v>
      </c>
      <c r="V430" s="158">
        <f t="shared" si="1313"/>
        <v>4.1325126081881649</v>
      </c>
      <c r="W430" s="180">
        <f t="shared" si="1330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349">+B270/B109</f>
        <v>3.2323845055672575</v>
      </c>
      <c r="C431" s="182">
        <f t="shared" si="1349"/>
        <v>3.4836105915936608</v>
      </c>
      <c r="D431" s="182">
        <f t="shared" si="1349"/>
        <v>3.6154516590923245</v>
      </c>
      <c r="E431" s="182">
        <f t="shared" si="1349"/>
        <v>3.0374745316714646</v>
      </c>
      <c r="F431" s="182">
        <f t="shared" si="1349"/>
        <v>2.4752826344354224</v>
      </c>
      <c r="G431" s="182">
        <f t="shared" si="1331"/>
        <v>2.727527790403403</v>
      </c>
      <c r="H431" s="182">
        <f t="shared" ref="H431:I431" si="1350">+H270/H109</f>
        <v>2.839097943969719</v>
      </c>
      <c r="I431" s="182">
        <f t="shared" si="1350"/>
        <v>4.1325126081881649</v>
      </c>
      <c r="J431" s="183">
        <f t="shared" ref="J431" si="1351">+J270/J109</f>
        <v>4.1015704019164225</v>
      </c>
      <c r="K431" s="183"/>
      <c r="L431" s="137"/>
      <c r="M431" s="3"/>
      <c r="N431" s="134" t="s">
        <v>14</v>
      </c>
      <c r="O431" s="182">
        <f t="shared" ref="O431:W431" si="1352">+O270/O109</f>
        <v>3.2317964762261528</v>
      </c>
      <c r="P431" s="182">
        <f t="shared" si="1352"/>
        <v>3.3446060682411227</v>
      </c>
      <c r="Q431" s="182">
        <f t="shared" si="1352"/>
        <v>3.5508642263193217</v>
      </c>
      <c r="R431" s="182">
        <f t="shared" si="1352"/>
        <v>3.4180442976177834</v>
      </c>
      <c r="S431" s="182">
        <f t="shared" si="1352"/>
        <v>2.5908625487413852</v>
      </c>
      <c r="T431" s="182">
        <f t="shared" si="1352"/>
        <v>2.6871850089578522</v>
      </c>
      <c r="U431" s="182">
        <f t="shared" si="1352"/>
        <v>2.6258145706748284</v>
      </c>
      <c r="V431" s="182">
        <f t="shared" si="1352"/>
        <v>3.6160334770383566</v>
      </c>
      <c r="W431" s="183">
        <f t="shared" si="1352"/>
        <v>4.156535418567695</v>
      </c>
      <c r="X431" s="183">
        <f t="shared" ref="X431" si="1353">+X270/X109</f>
        <v>4.0546921021784019</v>
      </c>
      <c r="Y431" s="149">
        <f>+X431/W431-1</f>
        <v>-2.4501972468308097E-2</v>
      </c>
      <c r="Z431" s="156">
        <f>+POWER(X431/S431,0.2)-1</f>
        <v>9.3711306030350938E-2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354">+C431/C$485</f>
        <v>0.92352885987918953</v>
      </c>
      <c r="D432" s="138">
        <f t="shared" ref="D432" si="1355">+D431/D$485</f>
        <v>0.9503457663463627</v>
      </c>
      <c r="E432" s="138">
        <f t="shared" ref="E432" si="1356">+E431/E$485</f>
        <v>0.89324501050422733</v>
      </c>
      <c r="F432" s="138">
        <f t="shared" ref="F432:G432" si="1357">+F431/F$485</f>
        <v>0.90022672893166966</v>
      </c>
      <c r="G432" s="138">
        <f t="shared" si="1357"/>
        <v>0.89171170060872318</v>
      </c>
      <c r="H432" s="138">
        <f t="shared" ref="H432:I432" si="1358">+H431/H$485</f>
        <v>0.87397386660440302</v>
      </c>
      <c r="I432" s="138">
        <f t="shared" si="1358"/>
        <v>1.169144044354238</v>
      </c>
      <c r="J432" s="139">
        <f t="shared" ref="J432" si="1359">+J431/J$485</f>
        <v>1.155196621195667</v>
      </c>
      <c r="K432" s="139"/>
      <c r="L432" s="140"/>
      <c r="M432" s="3"/>
      <c r="N432" s="135" t="s">
        <v>15</v>
      </c>
      <c r="O432" s="138">
        <f t="shared" ref="O432" si="1360">+O431/O$485</f>
        <v>0.94795879077679479</v>
      </c>
      <c r="P432" s="138">
        <f t="shared" ref="P432" si="1361">+P431/P$485</f>
        <v>0.92498856129101414</v>
      </c>
      <c r="Q432" s="138">
        <f t="shared" ref="Q432" si="1362">+Q431/Q$485</f>
        <v>0.92012424533538828</v>
      </c>
      <c r="R432" s="138">
        <f t="shared" ref="R432" si="1363">+R431/R$485</f>
        <v>0.95212577827341016</v>
      </c>
      <c r="S432" s="138">
        <f t="shared" ref="S432:W432" si="1364">+S431/S$485</f>
        <v>0.86306098647050644</v>
      </c>
      <c r="T432" s="138">
        <f t="shared" si="1364"/>
        <v>0.92739642177779991</v>
      </c>
      <c r="U432" s="138">
        <f t="shared" si="1364"/>
        <v>0.83450661705530171</v>
      </c>
      <c r="V432" s="138">
        <f t="shared" si="1364"/>
        <v>1.0620928452366833</v>
      </c>
      <c r="W432" s="139">
        <f t="shared" si="1364"/>
        <v>1.1727027693546239</v>
      </c>
      <c r="X432" s="139">
        <f t="shared" ref="X432" si="1365">+X431/X$485</f>
        <v>1.134103649000916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66">+D431/C431-1</f>
        <v>3.7846097901071518E-2</v>
      </c>
      <c r="E433" s="142">
        <f t="shared" ref="E433" si="1367">+E431/D431-1</f>
        <v>-0.15986304946640151</v>
      </c>
      <c r="F433" s="142">
        <f t="shared" ref="F433:J433" si="1368">+F431/E431-1</f>
        <v>-0.18508530404917622</v>
      </c>
      <c r="G433" s="142">
        <f t="shared" si="1368"/>
        <v>0.10190559755028317</v>
      </c>
      <c r="H433" s="142">
        <f t="shared" si="1368"/>
        <v>4.0905230721705932E-2</v>
      </c>
      <c r="I433" s="142">
        <f t="shared" si="1368"/>
        <v>0.45557240001729271</v>
      </c>
      <c r="J433" s="143">
        <f t="shared" si="1368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369">+Q431/P431-1</f>
        <v>6.1668894294229171E-2</v>
      </c>
      <c r="R433" s="142">
        <f t="shared" ref="R433" si="1370">+R431/Q431-1</f>
        <v>-3.7404958409016364E-2</v>
      </c>
      <c r="S433" s="142">
        <f t="shared" ref="S433" si="1371">+S431/R431-1</f>
        <v>-0.2420043969157758</v>
      </c>
      <c r="T433" s="142">
        <f t="shared" ref="T433" si="1372">+T431/S431-1</f>
        <v>3.7177757756102991E-2</v>
      </c>
      <c r="U433" s="142">
        <f t="shared" ref="U433" si="1373">+U431/T431-1</f>
        <v>-2.2838188691304384E-2</v>
      </c>
      <c r="V433" s="142">
        <f t="shared" ref="V433" si="1374">+V431/U431-1</f>
        <v>0.37710922828379467</v>
      </c>
      <c r="W433" s="143">
        <f t="shared" ref="W433:X433" si="1375">+W431/V431-1</f>
        <v>0.14947371061731052</v>
      </c>
      <c r="X433" s="143">
        <f t="shared" si="1375"/>
        <v>-2.4501972468308097E-2</v>
      </c>
      <c r="Y433" s="144"/>
      <c r="Z433" s="145"/>
    </row>
    <row r="434" spans="1:26" ht="15.75" thickBot="1" x14ac:dyDescent="0.3"/>
    <row r="435" spans="1:26" ht="15.75" thickBot="1" x14ac:dyDescent="0.3">
      <c r="A435" s="373" t="s">
        <v>94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95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376">+C436+1</f>
        <v>2018</v>
      </c>
      <c r="E436" s="129">
        <f t="shared" ref="E436" si="1377">+D436+1</f>
        <v>2019</v>
      </c>
      <c r="F436" s="129">
        <f t="shared" ref="F436" si="1378">+E436+1</f>
        <v>2020</v>
      </c>
      <c r="G436" s="129">
        <f t="shared" ref="G436" si="1379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380">+P436+1</f>
        <v>2018</v>
      </c>
      <c r="R436" s="129">
        <f t="shared" ref="R436" si="1381">+Q436+1</f>
        <v>2019</v>
      </c>
      <c r="S436" s="129">
        <f t="shared" ref="S436" si="1382">+R436+1</f>
        <v>2020</v>
      </c>
      <c r="T436" s="129">
        <f t="shared" ref="T436" si="1383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384">+C276/C115</f>
        <v>2.4123761179598744</v>
      </c>
      <c r="D437" s="158">
        <f t="shared" si="1384"/>
        <v>2.0785728602926437</v>
      </c>
      <c r="E437" s="158">
        <f t="shared" si="1384"/>
        <v>2.5110132158590308</v>
      </c>
      <c r="F437" s="158">
        <f t="shared" si="1384"/>
        <v>1.8199911543564793</v>
      </c>
      <c r="G437" s="158">
        <f t="shared" si="1384"/>
        <v>1.9587337478801581</v>
      </c>
      <c r="H437" s="158">
        <f t="shared" si="1384"/>
        <v>3.1298271423317399</v>
      </c>
      <c r="I437" s="158">
        <f t="shared" ref="I437:J437" si="1385">+I276/I115</f>
        <v>2.5476883284836727</v>
      </c>
      <c r="J437" s="180">
        <f t="shared" si="1385"/>
        <v>2.3620071684587813</v>
      </c>
      <c r="K437" s="181">
        <f t="shared" ref="K437" si="1386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387">+P276/P115</f>
        <v>2.4563349553801634</v>
      </c>
      <c r="Q437" s="158">
        <f t="shared" si="1387"/>
        <v>2.4128879079721774</v>
      </c>
      <c r="R437" s="158">
        <f t="shared" si="1387"/>
        <v>2.51126083500511</v>
      </c>
      <c r="S437" s="158">
        <f t="shared" si="1387"/>
        <v>2.2732366806012627</v>
      </c>
      <c r="T437" s="158">
        <f t="shared" si="1387"/>
        <v>1.9585118142876887</v>
      </c>
      <c r="U437" s="158">
        <f t="shared" si="1387"/>
        <v>2.1029079159935384</v>
      </c>
      <c r="V437" s="158">
        <f t="shared" si="1387"/>
        <v>2.3343372341174704</v>
      </c>
      <c r="W437" s="180">
        <f t="shared" si="1387"/>
        <v>2.7819218955682317</v>
      </c>
      <c r="X437" s="181">
        <f t="shared" ref="X437" si="1388">+X276/X115</f>
        <v>2.9800116334408542</v>
      </c>
      <c r="Y437" s="147">
        <f t="shared" ref="Y437:Y443" si="1389">+X437/W437-1</f>
        <v>7.1206074544433173E-2</v>
      </c>
      <c r="Z437" s="127">
        <f t="shared" ref="Z437:Z443" si="1390">+POWER(X437/S437,0.2)-1</f>
        <v>5.5637138708080291E-2</v>
      </c>
    </row>
    <row r="438" spans="1:26" x14ac:dyDescent="0.25">
      <c r="A438" s="133" t="s">
        <v>11</v>
      </c>
      <c r="B438" s="158">
        <f t="shared" ref="B438:G438" si="1391">+B277/B116</f>
        <v>2.7133783993272984</v>
      </c>
      <c r="C438" s="158">
        <f t="shared" si="1391"/>
        <v>2.3468749999999998</v>
      </c>
      <c r="D438" s="158">
        <f t="shared" si="1391"/>
        <v>2.738294314381271</v>
      </c>
      <c r="E438" s="158">
        <f t="shared" si="1391"/>
        <v>2.9647948792551642</v>
      </c>
      <c r="F438" s="158">
        <f t="shared" si="1391"/>
        <v>2.6202440775305096</v>
      </c>
      <c r="G438" s="158">
        <f t="shared" si="1391"/>
        <v>2.1888412017167385</v>
      </c>
      <c r="H438" s="158">
        <f t="shared" si="1384"/>
        <v>1.7603388141504734</v>
      </c>
      <c r="I438" s="158">
        <f t="shared" ref="I438:J448" si="1392">+I277/I116</f>
        <v>3.3746898263027294</v>
      </c>
      <c r="J438" s="180">
        <f t="shared" si="1392"/>
        <v>3.9066788655077769</v>
      </c>
      <c r="K438" s="181">
        <f t="shared" ref="K438:K443" si="1393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394">+O277/O116</f>
        <v>2.5278627005932677</v>
      </c>
      <c r="P438" s="158">
        <f t="shared" si="1394"/>
        <v>2.4338119738072961</v>
      </c>
      <c r="Q438" s="158">
        <f t="shared" si="1394"/>
        <v>2.4296610169491522</v>
      </c>
      <c r="R438" s="158">
        <f t="shared" si="1394"/>
        <v>2.5301115379618797</v>
      </c>
      <c r="S438" s="158">
        <f t="shared" si="1394"/>
        <v>2.2478583255345193</v>
      </c>
      <c r="T438" s="158">
        <f t="shared" si="1394"/>
        <v>1.9407900349799505</v>
      </c>
      <c r="U438" s="158">
        <f t="shared" si="1394"/>
        <v>2.0760665822906486</v>
      </c>
      <c r="V438" s="158">
        <f t="shared" si="1387"/>
        <v>2.4063641783125007</v>
      </c>
      <c r="W438" s="180">
        <f t="shared" si="1387"/>
        <v>2.8314657869290714</v>
      </c>
      <c r="X438" s="181">
        <f t="shared" ref="X438:X440" si="1395">+X277/X116</f>
        <v>2.952947396246365</v>
      </c>
      <c r="Y438" s="147">
        <f t="shared" si="1389"/>
        <v>4.2904141691589848E-2</v>
      </c>
      <c r="Z438" s="127">
        <f t="shared" si="1390"/>
        <v>5.6081305609191556E-2</v>
      </c>
    </row>
    <row r="439" spans="1:26" x14ac:dyDescent="0.25">
      <c r="A439" s="133" t="s">
        <v>0</v>
      </c>
      <c r="B439" s="158">
        <f t="shared" ref="B439:G439" si="1396">+B278/B117</f>
        <v>2.4096847404094923</v>
      </c>
      <c r="C439" s="158">
        <f t="shared" si="1396"/>
        <v>2.9961922893860065</v>
      </c>
      <c r="D439" s="158">
        <f t="shared" si="1396"/>
        <v>2.3960708647605684</v>
      </c>
      <c r="E439" s="158">
        <f t="shared" si="1396"/>
        <v>2.3159480323856148</v>
      </c>
      <c r="F439" s="158">
        <f t="shared" si="1396"/>
        <v>3.0760233918128654</v>
      </c>
      <c r="G439" s="158">
        <f t="shared" si="1396"/>
        <v>1.9618528610354224</v>
      </c>
      <c r="H439" s="158">
        <f t="shared" si="1384"/>
        <v>2.2346006317689531</v>
      </c>
      <c r="I439" s="158">
        <f t="shared" si="1392"/>
        <v>2.7481455316142704</v>
      </c>
      <c r="J439" s="180">
        <f t="shared" si="1392"/>
        <v>2.7044025157232703</v>
      </c>
      <c r="K439" s="181">
        <f t="shared" si="1393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397">+O278/O117</f>
        <v>2.5539237681193114</v>
      </c>
      <c r="P439" s="158">
        <f t="shared" si="1397"/>
        <v>2.474610150631821</v>
      </c>
      <c r="Q439" s="158">
        <f t="shared" si="1397"/>
        <v>2.3871468949899999</v>
      </c>
      <c r="R439" s="158">
        <f t="shared" si="1397"/>
        <v>2.5231338679827271</v>
      </c>
      <c r="S439" s="158">
        <f t="shared" si="1397"/>
        <v>2.2812298837517515</v>
      </c>
      <c r="T439" s="158">
        <f t="shared" si="1397"/>
        <v>1.8953611178812251</v>
      </c>
      <c r="U439" s="158">
        <f t="shared" si="1397"/>
        <v>2.0957631211585914</v>
      </c>
      <c r="V439" s="158">
        <f t="shared" si="1387"/>
        <v>2.438713360155087</v>
      </c>
      <c r="W439" s="180">
        <f t="shared" si="1387"/>
        <v>2.8289605734767025</v>
      </c>
      <c r="X439" s="181">
        <f t="shared" si="1395"/>
        <v>2.9565080860417647</v>
      </c>
      <c r="Y439" s="147">
        <f t="shared" si="1389"/>
        <v>4.5086352125547791E-2</v>
      </c>
      <c r="Z439" s="127">
        <f t="shared" si="1390"/>
        <v>5.3227048177133973E-2</v>
      </c>
    </row>
    <row r="440" spans="1:26" x14ac:dyDescent="0.25">
      <c r="A440" s="133" t="s">
        <v>1</v>
      </c>
      <c r="B440" s="158">
        <f t="shared" ref="B440:H440" si="1398">+B279/B118</f>
        <v>1.9860317355159738</v>
      </c>
      <c r="C440" s="158">
        <f t="shared" si="1398"/>
        <v>2.4195103142471561</v>
      </c>
      <c r="D440" s="158">
        <f t="shared" si="1398"/>
        <v>3.0318509615384612</v>
      </c>
      <c r="E440" s="158">
        <f t="shared" si="1398"/>
        <v>2.0384531352414248</v>
      </c>
      <c r="F440" s="158">
        <f t="shared" si="1398"/>
        <v>2.434978496825722</v>
      </c>
      <c r="G440" s="158">
        <f t="shared" si="1398"/>
        <v>3.575701794753797</v>
      </c>
      <c r="H440" s="158">
        <f t="shared" si="1398"/>
        <v>2.2546608123951168</v>
      </c>
      <c r="I440" s="158">
        <f t="shared" si="1392"/>
        <v>3.4422948632421613</v>
      </c>
      <c r="J440" s="180">
        <f t="shared" si="1392"/>
        <v>2.3332487953335028</v>
      </c>
      <c r="K440" s="181">
        <f t="shared" si="1393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399">+O279/O118</f>
        <v>2.4217665731794544</v>
      </c>
      <c r="P440" s="158">
        <f t="shared" si="1399"/>
        <v>2.551965766070357</v>
      </c>
      <c r="Q440" s="158">
        <f t="shared" si="1399"/>
        <v>2.4208731241473398</v>
      </c>
      <c r="R440" s="158">
        <f t="shared" si="1399"/>
        <v>2.4516824376164554</v>
      </c>
      <c r="S440" s="158">
        <f t="shared" si="1399"/>
        <v>2.3162788946615467</v>
      </c>
      <c r="T440" s="158">
        <f t="shared" si="1399"/>
        <v>1.9126370357780234</v>
      </c>
      <c r="U440" s="158">
        <f t="shared" si="1399"/>
        <v>2.0554563059675872</v>
      </c>
      <c r="V440" s="158">
        <f t="shared" si="1387"/>
        <v>2.488947479223266</v>
      </c>
      <c r="W440" s="180">
        <f t="shared" si="1387"/>
        <v>2.7519494091481551</v>
      </c>
      <c r="X440" s="181">
        <f t="shared" si="1395"/>
        <v>3.0430430430430433</v>
      </c>
      <c r="Y440" s="147">
        <f t="shared" si="1389"/>
        <v>0.10577724754939943</v>
      </c>
      <c r="Z440" s="127">
        <f t="shared" si="1390"/>
        <v>5.6096124880753884E-2</v>
      </c>
    </row>
    <row r="441" spans="1:26" x14ac:dyDescent="0.25">
      <c r="A441" s="133" t="s">
        <v>2</v>
      </c>
      <c r="B441" s="158">
        <f t="shared" ref="B441:H441" si="1400">+B280/B119</f>
        <v>2.9109676777475157</v>
      </c>
      <c r="C441" s="158">
        <f t="shared" si="1400"/>
        <v>2.9380122950819669</v>
      </c>
      <c r="D441" s="158">
        <f t="shared" si="1400"/>
        <v>2.8262213976499688</v>
      </c>
      <c r="E441" s="158">
        <f t="shared" si="1400"/>
        <v>2.6036569662631983</v>
      </c>
      <c r="F441" s="158">
        <f t="shared" si="1400"/>
        <v>1.8051516410469464</v>
      </c>
      <c r="G441" s="158">
        <f t="shared" si="1400"/>
        <v>1.8578281726995203</v>
      </c>
      <c r="H441" s="158">
        <f t="shared" si="1400"/>
        <v>2.2878362786682493</v>
      </c>
      <c r="I441" s="158">
        <f t="shared" si="1392"/>
        <v>2.6843853820598009</v>
      </c>
      <c r="J441" s="180">
        <f t="shared" ref="J441" si="1401">+J280/J119</f>
        <v>2.8364817001180636</v>
      </c>
      <c r="K441" s="181">
        <f t="shared" si="1393"/>
        <v>3.0687960687960691</v>
      </c>
      <c r="L441" s="127">
        <f t="shared" ref="L441:L442" si="1402">+K441/J441-1</f>
        <v>8.1902297719155248E-2</v>
      </c>
      <c r="M441" s="2"/>
      <c r="N441" s="133" t="s">
        <v>2</v>
      </c>
      <c r="O441" s="158">
        <f t="shared" ref="O441:U441" si="1403">+O280/O119</f>
        <v>2.4632467239874591</v>
      </c>
      <c r="P441" s="158">
        <f t="shared" si="1403"/>
        <v>2.5530806514037541</v>
      </c>
      <c r="Q441" s="158">
        <f t="shared" si="1403"/>
        <v>2.4086596515439025</v>
      </c>
      <c r="R441" s="158">
        <f t="shared" si="1403"/>
        <v>2.4404686681951944</v>
      </c>
      <c r="S441" s="158">
        <f t="shared" si="1403"/>
        <v>2.250115622976598</v>
      </c>
      <c r="T441" s="158">
        <f t="shared" si="1403"/>
        <v>1.9171771290118931</v>
      </c>
      <c r="U441" s="158">
        <f t="shared" si="1403"/>
        <v>2.0876840038161517</v>
      </c>
      <c r="V441" s="158">
        <f t="shared" si="1387"/>
        <v>2.5242816246465809</v>
      </c>
      <c r="W441" s="180">
        <f t="shared" ref="W441:X448" si="1404">+W280/W119</f>
        <v>2.7649415072817463</v>
      </c>
      <c r="X441" s="181">
        <f t="shared" si="1404"/>
        <v>3.0644175853366979</v>
      </c>
      <c r="Y441" s="147">
        <f t="shared" si="1389"/>
        <v>0.10831190362119836</v>
      </c>
      <c r="Z441" s="127">
        <f t="shared" si="1390"/>
        <v>6.3723177418491428E-2</v>
      </c>
    </row>
    <row r="442" spans="1:26" x14ac:dyDescent="0.25">
      <c r="A442" s="133" t="s">
        <v>3</v>
      </c>
      <c r="B442" s="158">
        <f t="shared" ref="B442:H449" si="1405">+B281/B120</f>
        <v>2.8901210984221248</v>
      </c>
      <c r="C442" s="158">
        <f t="shared" si="1405"/>
        <v>2.8364795292963962</v>
      </c>
      <c r="D442" s="158">
        <f t="shared" si="1405"/>
        <v>2.7877978178579381</v>
      </c>
      <c r="E442" s="158">
        <f t="shared" si="1405"/>
        <v>2.7559291504052839</v>
      </c>
      <c r="F442" s="158">
        <f t="shared" si="1405"/>
        <v>1.6294838145231847</v>
      </c>
      <c r="G442" s="158">
        <f t="shared" si="1405"/>
        <v>2.378181818181818</v>
      </c>
      <c r="H442" s="158">
        <f t="shared" si="1405"/>
        <v>2.0335792259283849</v>
      </c>
      <c r="I442" s="158">
        <f t="shared" si="1392"/>
        <v>3.4412955465587043</v>
      </c>
      <c r="J442" s="180">
        <f t="shared" ref="J442:J448" si="1406">+J281/J120</f>
        <v>2.1452446065025828</v>
      </c>
      <c r="K442" s="181">
        <f t="shared" si="1393"/>
        <v>2.392282958199357</v>
      </c>
      <c r="L442" s="127">
        <f t="shared" si="1402"/>
        <v>0.11515626280936031</v>
      </c>
      <c r="M442" s="2"/>
      <c r="N442" s="133" t="s">
        <v>3</v>
      </c>
      <c r="O442" s="158">
        <f t="shared" ref="O442:U442" si="1407">+O281/O120</f>
        <v>2.500624223237526</v>
      </c>
      <c r="P442" s="158">
        <f t="shared" si="1407"/>
        <v>2.5491996247927045</v>
      </c>
      <c r="Q442" s="158">
        <f t="shared" si="1407"/>
        <v>2.4079339522455552</v>
      </c>
      <c r="R442" s="158">
        <f t="shared" si="1407"/>
        <v>2.4310818535523966</v>
      </c>
      <c r="S442" s="158">
        <f t="shared" si="1407"/>
        <v>2.1683304398148149</v>
      </c>
      <c r="T442" s="158">
        <f t="shared" si="1407"/>
        <v>1.9818594104308389</v>
      </c>
      <c r="U442" s="158">
        <f t="shared" si="1407"/>
        <v>2.0575725586690568</v>
      </c>
      <c r="V442" s="158">
        <f t="shared" si="1387"/>
        <v>2.6438396821704355</v>
      </c>
      <c r="W442" s="180">
        <f t="shared" si="1404"/>
        <v>2.6686224622254531</v>
      </c>
      <c r="X442" s="181">
        <f t="shared" si="1404"/>
        <v>3.0615853814808176</v>
      </c>
      <c r="Y442" s="147">
        <f t="shared" si="1389"/>
        <v>0.1472530958641709</v>
      </c>
      <c r="Z442" s="127">
        <f t="shared" si="1390"/>
        <v>7.1430935867058176E-2</v>
      </c>
    </row>
    <row r="443" spans="1:26" x14ac:dyDescent="0.25">
      <c r="A443" s="133" t="s">
        <v>4</v>
      </c>
      <c r="B443" s="158">
        <f t="shared" ref="B443:F443" si="1408">+B282/B121</f>
        <v>2.7558314244193203</v>
      </c>
      <c r="C443" s="158">
        <f t="shared" si="1408"/>
        <v>2.5977376463584041</v>
      </c>
      <c r="D443" s="158">
        <f t="shared" si="1408"/>
        <v>2.1234485072123452</v>
      </c>
      <c r="E443" s="158">
        <f t="shared" si="1408"/>
        <v>2.8870872058532724</v>
      </c>
      <c r="F443" s="158">
        <f t="shared" si="1408"/>
        <v>2.4897400820793436</v>
      </c>
      <c r="G443" s="158">
        <f t="shared" si="1405"/>
        <v>2.6293005240373657</v>
      </c>
      <c r="H443" s="158">
        <f t="shared" ref="H443" si="1409">+H282/H121</f>
        <v>2.6981851887090684</v>
      </c>
      <c r="I443" s="158">
        <f t="shared" si="1392"/>
        <v>3.0345753608593489</v>
      </c>
      <c r="J443" s="180">
        <f t="shared" si="1406"/>
        <v>3.2855022266204852</v>
      </c>
      <c r="K443" s="181">
        <f t="shared" si="1393"/>
        <v>3.4664005322687963</v>
      </c>
      <c r="L443" s="127">
        <f t="shared" ref="L443" si="1410">+K443/J443-1</f>
        <v>5.5059559595668217E-2</v>
      </c>
      <c r="M443" s="2"/>
      <c r="N443" s="133" t="s">
        <v>4</v>
      </c>
      <c r="O443" s="158">
        <f t="shared" ref="O443:U443" si="1411">+O282/O121</f>
        <v>2.4985426329116383</v>
      </c>
      <c r="P443" s="158">
        <f t="shared" si="1411"/>
        <v>2.5389833800751709</v>
      </c>
      <c r="Q443" s="158">
        <f t="shared" si="1411"/>
        <v>2.3632071494814939</v>
      </c>
      <c r="R443" s="158">
        <f t="shared" si="1411"/>
        <v>2.5087199489929866</v>
      </c>
      <c r="S443" s="158">
        <f t="shared" si="1411"/>
        <v>2.1226852710876907</v>
      </c>
      <c r="T443" s="158">
        <f t="shared" si="1411"/>
        <v>1.9982080339809853</v>
      </c>
      <c r="U443" s="158">
        <f t="shared" si="1411"/>
        <v>2.0507258178590386</v>
      </c>
      <c r="V443" s="158">
        <f t="shared" si="1387"/>
        <v>2.6679938051641905</v>
      </c>
      <c r="W443" s="180">
        <f t="shared" si="1404"/>
        <v>2.7040751875900053</v>
      </c>
      <c r="X443" s="181">
        <f t="shared" si="1404"/>
        <v>3.0697943816970747</v>
      </c>
      <c r="Y443" s="147">
        <f t="shared" si="1389"/>
        <v>0.13524742055453531</v>
      </c>
      <c r="Z443" s="127">
        <f t="shared" si="1390"/>
        <v>7.6576104591053573E-2</v>
      </c>
    </row>
    <row r="444" spans="1:26" x14ac:dyDescent="0.25">
      <c r="A444" s="133" t="s">
        <v>5</v>
      </c>
      <c r="B444" s="158">
        <f t="shared" ref="B444:F444" si="1412">+B283/B122</f>
        <v>2.4978784548114392</v>
      </c>
      <c r="C444" s="158">
        <f t="shared" si="1412"/>
        <v>2.8673451169434028</v>
      </c>
      <c r="D444" s="158">
        <f t="shared" si="1412"/>
        <v>2.9387113672079623</v>
      </c>
      <c r="E444" s="158">
        <f t="shared" si="1412"/>
        <v>2.5643349039507068</v>
      </c>
      <c r="F444" s="158">
        <f t="shared" si="1412"/>
        <v>1.4567171530599681</v>
      </c>
      <c r="G444" s="158">
        <f t="shared" si="1405"/>
        <v>1.9301909307875895</v>
      </c>
      <c r="H444" s="158">
        <f t="shared" ref="H444" si="1413">+H283/H122</f>
        <v>2.9154681500817312</v>
      </c>
      <c r="I444" s="158">
        <f t="shared" si="1392"/>
        <v>3.1962118970109503</v>
      </c>
      <c r="J444" s="180">
        <f t="shared" si="1406"/>
        <v>2.8187744458930899</v>
      </c>
      <c r="K444" s="181"/>
      <c r="L444" s="127"/>
      <c r="M444" s="2"/>
      <c r="N444" s="133" t="s">
        <v>5</v>
      </c>
      <c r="O444" s="158">
        <f t="shared" ref="O444:U444" si="1414">+O283/O122</f>
        <v>2.5193673903883851</v>
      </c>
      <c r="P444" s="158">
        <f t="shared" si="1414"/>
        <v>2.5765914915753596</v>
      </c>
      <c r="Q444" s="158">
        <f t="shared" si="1414"/>
        <v>2.3711531019165086</v>
      </c>
      <c r="R444" s="158">
        <f t="shared" si="1414"/>
        <v>2.4681363781840089</v>
      </c>
      <c r="S444" s="158">
        <f t="shared" si="1414"/>
        <v>1.9838221498486646</v>
      </c>
      <c r="T444" s="158">
        <f t="shared" si="1414"/>
        <v>2.0651804526609125</v>
      </c>
      <c r="U444" s="158">
        <f t="shared" si="1414"/>
        <v>2.1328782415570133</v>
      </c>
      <c r="V444" s="158">
        <f t="shared" si="1387"/>
        <v>2.683512632449216</v>
      </c>
      <c r="W444" s="180">
        <f t="shared" si="1404"/>
        <v>2.6735269875365288</v>
      </c>
      <c r="X444" s="181"/>
      <c r="Y444" s="147"/>
      <c r="Z444" s="127"/>
    </row>
    <row r="445" spans="1:26" x14ac:dyDescent="0.25">
      <c r="A445" s="133" t="s">
        <v>6</v>
      </c>
      <c r="B445" s="158">
        <f t="shared" ref="B445:F445" si="1415">+B284/B123</f>
        <v>2.4977808617084687</v>
      </c>
      <c r="C445" s="158">
        <f t="shared" si="1415"/>
        <v>1.7266391693926897</v>
      </c>
      <c r="D445" s="158">
        <f t="shared" si="1415"/>
        <v>2.1875792141951838</v>
      </c>
      <c r="E445" s="158">
        <f t="shared" si="1415"/>
        <v>1.9429153924566769</v>
      </c>
      <c r="F445" s="158">
        <f t="shared" si="1415"/>
        <v>1.8534743202416919</v>
      </c>
      <c r="G445" s="158">
        <f t="shared" si="1405"/>
        <v>2.0177701347090857</v>
      </c>
      <c r="H445" s="158">
        <f t="shared" ref="H445:H448" si="1416">+H284/H123</f>
        <v>2.3624921573473769</v>
      </c>
      <c r="I445" s="158">
        <f t="shared" si="1392"/>
        <v>2.0695286980867942</v>
      </c>
      <c r="J445" s="180">
        <f t="shared" si="1406"/>
        <v>2.8435737607598695</v>
      </c>
      <c r="K445" s="181"/>
      <c r="L445" s="127"/>
      <c r="M445" s="2"/>
      <c r="N445" s="133" t="s">
        <v>6</v>
      </c>
      <c r="O445" s="158">
        <f t="shared" ref="O445:U445" si="1417">+O284/O123</f>
        <v>2.493516940327082</v>
      </c>
      <c r="P445" s="158">
        <f t="shared" si="1417"/>
        <v>2.4813822380983677</v>
      </c>
      <c r="Q445" s="158">
        <f t="shared" si="1417"/>
        <v>2.4387257076936733</v>
      </c>
      <c r="R445" s="158">
        <f t="shared" si="1417"/>
        <v>2.4409638108622889</v>
      </c>
      <c r="S445" s="158">
        <f t="shared" si="1417"/>
        <v>1.9724455438741151</v>
      </c>
      <c r="T445" s="158">
        <f t="shared" si="1417"/>
        <v>2.083262962337443</v>
      </c>
      <c r="U445" s="158">
        <f t="shared" si="1417"/>
        <v>2.1693268069886629</v>
      </c>
      <c r="V445" s="158">
        <f t="shared" si="1387"/>
        <v>2.6631407359459427</v>
      </c>
      <c r="W445" s="180">
        <f t="shared" si="1404"/>
        <v>2.7543456032719842</v>
      </c>
      <c r="X445" s="181"/>
      <c r="Y445" s="147"/>
      <c r="Z445" s="127"/>
    </row>
    <row r="446" spans="1:26" x14ac:dyDescent="0.25">
      <c r="A446" s="133" t="s">
        <v>7</v>
      </c>
      <c r="B446" s="158">
        <f t="shared" ref="B446:F446" si="1418">+B285/B124</f>
        <v>2.7706873898202131</v>
      </c>
      <c r="C446" s="158">
        <f t="shared" si="1418"/>
        <v>2.49570692615913</v>
      </c>
      <c r="D446" s="158">
        <f t="shared" si="1418"/>
        <v>2.8732659299318128</v>
      </c>
      <c r="E446" s="158">
        <f t="shared" si="1418"/>
        <v>2.1973278520041108</v>
      </c>
      <c r="F446" s="158">
        <f t="shared" si="1418"/>
        <v>2.180534098433017</v>
      </c>
      <c r="G446" s="158">
        <f t="shared" si="1405"/>
        <v>2.4537731134432783</v>
      </c>
      <c r="H446" s="158">
        <f t="shared" si="1416"/>
        <v>1.9739582909212317</v>
      </c>
      <c r="I446" s="158">
        <f t="shared" si="1392"/>
        <v>2.9778348859620944</v>
      </c>
      <c r="J446" s="180">
        <f t="shared" si="1406"/>
        <v>2.9786724179247548</v>
      </c>
      <c r="K446" s="181"/>
      <c r="L446" s="127"/>
      <c r="M446" s="2"/>
      <c r="N446" s="133" t="s">
        <v>7</v>
      </c>
      <c r="O446" s="158">
        <f t="shared" ref="O446:U446" si="1419">+O285/O124</f>
        <v>2.4839258587712165</v>
      </c>
      <c r="P446" s="158">
        <f t="shared" si="1419"/>
        <v>2.4603672493599418</v>
      </c>
      <c r="Q446" s="158">
        <f t="shared" si="1419"/>
        <v>2.4667160431381761</v>
      </c>
      <c r="R446" s="158">
        <f t="shared" si="1419"/>
        <v>2.3856717072903137</v>
      </c>
      <c r="S446" s="158">
        <f t="shared" si="1419"/>
        <v>1.9698330972044646</v>
      </c>
      <c r="T446" s="158">
        <f t="shared" si="1419"/>
        <v>2.1010207733337878</v>
      </c>
      <c r="U446" s="158">
        <f t="shared" si="1419"/>
        <v>2.1307615769286858</v>
      </c>
      <c r="V446" s="158">
        <f t="shared" si="1387"/>
        <v>2.8121336878520169</v>
      </c>
      <c r="W446" s="180">
        <f t="shared" si="1404"/>
        <v>2.7603285216525637</v>
      </c>
      <c r="X446" s="181"/>
      <c r="Y446" s="147"/>
      <c r="Z446" s="127"/>
    </row>
    <row r="447" spans="1:26" x14ac:dyDescent="0.25">
      <c r="A447" s="133" t="s">
        <v>8</v>
      </c>
      <c r="B447" s="158">
        <f t="shared" ref="B447:F447" si="1420">+B286/B125</f>
        <v>1.8870891649630444</v>
      </c>
      <c r="C447" s="158">
        <f t="shared" si="1420"/>
        <v>2.0379909851899551</v>
      </c>
      <c r="D447" s="158">
        <f t="shared" si="1420"/>
        <v>2.0977443609022557</v>
      </c>
      <c r="E447" s="158">
        <f t="shared" si="1420"/>
        <v>1.6830294530154277</v>
      </c>
      <c r="F447" s="158">
        <f t="shared" si="1420"/>
        <v>1.9455484896661368</v>
      </c>
      <c r="G447" s="158">
        <f t="shared" si="1405"/>
        <v>2.246800731261426</v>
      </c>
      <c r="H447" s="158">
        <f t="shared" si="1416"/>
        <v>2.7663817663817665</v>
      </c>
      <c r="I447" s="158">
        <f t="shared" si="1392"/>
        <v>2.4836212030970817</v>
      </c>
      <c r="J447" s="180">
        <f t="shared" si="1406"/>
        <v>2.968877968877969</v>
      </c>
      <c r="K447" s="181"/>
      <c r="L447" s="127"/>
      <c r="M447" s="2"/>
      <c r="N447" s="133" t="s">
        <v>8</v>
      </c>
      <c r="O447" s="158">
        <f t="shared" ref="O447:U447" si="1421">+O286/O125</f>
        <v>2.4272372897956607</v>
      </c>
      <c r="P447" s="158">
        <f t="shared" si="1421"/>
        <v>2.477733206418276</v>
      </c>
      <c r="Q447" s="158">
        <f t="shared" si="1421"/>
        <v>2.4795740383732672</v>
      </c>
      <c r="R447" s="158">
        <f t="shared" si="1421"/>
        <v>2.3323055963861896</v>
      </c>
      <c r="S447" s="158">
        <f t="shared" si="1421"/>
        <v>2.0002478183137735</v>
      </c>
      <c r="T447" s="158">
        <f t="shared" si="1421"/>
        <v>2.1277423501750703</v>
      </c>
      <c r="U447" s="158">
        <f t="shared" si="1421"/>
        <v>2.1579727379159261</v>
      </c>
      <c r="V447" s="158">
        <f t="shared" si="1387"/>
        <v>2.7850681981335246</v>
      </c>
      <c r="W447" s="180">
        <f t="shared" si="1404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422">+B287/B126</f>
        <v>2.614522904580916</v>
      </c>
      <c r="C448" s="158">
        <f t="shared" si="1422"/>
        <v>2.1901229748194422</v>
      </c>
      <c r="D448" s="158">
        <f t="shared" si="1422"/>
        <v>2.11984171848502</v>
      </c>
      <c r="E448" s="158">
        <f t="shared" si="1422"/>
        <v>1.97632058287796</v>
      </c>
      <c r="F448" s="158">
        <f t="shared" si="1422"/>
        <v>1.5297241481044401</v>
      </c>
      <c r="G448" s="158">
        <f t="shared" si="1405"/>
        <v>1.2689083726755948</v>
      </c>
      <c r="H448" s="158">
        <f t="shared" si="1416"/>
        <v>2.5541967759866595</v>
      </c>
      <c r="I448" s="158">
        <f t="shared" si="1392"/>
        <v>2.6341613002146582</v>
      </c>
      <c r="J448" s="180">
        <f t="shared" si="1406"/>
        <v>3.8628824179874681</v>
      </c>
      <c r="K448" s="181"/>
      <c r="L448" s="127"/>
      <c r="M448" s="2"/>
      <c r="N448" s="133" t="s">
        <v>9</v>
      </c>
      <c r="O448" s="158">
        <f t="shared" ref="O448:U448" si="1423">+O287/O126</f>
        <v>2.4591124287357324</v>
      </c>
      <c r="P448" s="158">
        <f t="shared" si="1423"/>
        <v>2.4411425469841919</v>
      </c>
      <c r="Q448" s="158">
        <f t="shared" si="1423"/>
        <v>2.4717744149023768</v>
      </c>
      <c r="R448" s="158">
        <f t="shared" si="1423"/>
        <v>2.3243607734504561</v>
      </c>
      <c r="S448" s="158">
        <f t="shared" si="1423"/>
        <v>1.9478600543478257</v>
      </c>
      <c r="T448" s="158">
        <f t="shared" si="1423"/>
        <v>2.0502559033147851</v>
      </c>
      <c r="U448" s="158">
        <f t="shared" si="1423"/>
        <v>2.3633075415518556</v>
      </c>
      <c r="V448" s="158">
        <f t="shared" si="1387"/>
        <v>2.7948851774530272</v>
      </c>
      <c r="W448" s="180">
        <f t="shared" si="1404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424">+B288/B127</f>
        <v>2.459112428735732</v>
      </c>
      <c r="C449" s="182">
        <f t="shared" si="1424"/>
        <v>2.4411425469841919</v>
      </c>
      <c r="D449" s="182">
        <f t="shared" si="1424"/>
        <v>2.4717744149023768</v>
      </c>
      <c r="E449" s="182">
        <f t="shared" si="1424"/>
        <v>2.3243607734504561</v>
      </c>
      <c r="F449" s="182">
        <f t="shared" si="1424"/>
        <v>1.9478600543478257</v>
      </c>
      <c r="G449" s="182">
        <f t="shared" si="1405"/>
        <v>2.0502559033147851</v>
      </c>
      <c r="H449" s="182">
        <f t="shared" ref="H449" si="1425">+H288/H127</f>
        <v>2.3633075415518556</v>
      </c>
      <c r="I449" s="182">
        <f t="shared" ref="I449" si="1426">+I288/I127</f>
        <v>2.7948851774530272</v>
      </c>
      <c r="J449" s="183">
        <f t="shared" ref="J449" si="1427">+J288/J127</f>
        <v>2.885370389503048</v>
      </c>
      <c r="K449" s="183"/>
      <c r="L449" s="137"/>
      <c r="M449" s="3"/>
      <c r="N449" s="134" t="s">
        <v>14</v>
      </c>
      <c r="O449" s="182">
        <f t="shared" ref="O449:W449" si="1428">+O288/O127</f>
        <v>2.487777502405621</v>
      </c>
      <c r="P449" s="182">
        <f t="shared" si="1428"/>
        <v>2.4979988624256144</v>
      </c>
      <c r="Q449" s="182">
        <f t="shared" si="1428"/>
        <v>2.4204187930838175</v>
      </c>
      <c r="R449" s="182">
        <f t="shared" si="1428"/>
        <v>2.4448223059940593</v>
      </c>
      <c r="S449" s="182">
        <f t="shared" si="1428"/>
        <v>2.1239419606952037</v>
      </c>
      <c r="T449" s="182">
        <f t="shared" si="1428"/>
        <v>2.0026671410741126</v>
      </c>
      <c r="U449" s="182">
        <f t="shared" si="1428"/>
        <v>2.1194849671122777</v>
      </c>
      <c r="V449" s="182">
        <f t="shared" si="1428"/>
        <v>2.5823775801923481</v>
      </c>
      <c r="W449" s="183">
        <f t="shared" si="1428"/>
        <v>2.7653996225701309</v>
      </c>
      <c r="X449" s="183">
        <f t="shared" ref="X449" si="1429">+X288/X127</f>
        <v>3.0183519414184325</v>
      </c>
      <c r="Y449" s="149">
        <f>+X449/W449-1</f>
        <v>9.1470439492289612E-2</v>
      </c>
      <c r="Z449" s="156">
        <f>+POWER(X449/S449,0.2)-1</f>
        <v>7.2816505199646109E-2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430">+C449/C$485</f>
        <v>0.64716349142443397</v>
      </c>
      <c r="D450" s="138">
        <f t="shared" ref="D450" si="1431">+D449/D$485</f>
        <v>0.64972251659298041</v>
      </c>
      <c r="E450" s="138">
        <f t="shared" ref="E450" si="1432">+E449/E$485</f>
        <v>0.68353615539744472</v>
      </c>
      <c r="F450" s="138">
        <f t="shared" ref="F450:G450" si="1433">+F449/F$485</f>
        <v>0.70841028848495924</v>
      </c>
      <c r="G450" s="138">
        <f t="shared" si="1433"/>
        <v>0.6702909442977677</v>
      </c>
      <c r="H450" s="138">
        <f t="shared" ref="H450" si="1434">+H449/H$485</f>
        <v>0.72750890276698776</v>
      </c>
      <c r="I450" s="138">
        <f t="shared" ref="I450" si="1435">+I449/I$485</f>
        <v>0.79071104426848504</v>
      </c>
      <c r="J450" s="139">
        <f t="shared" ref="J450" si="1436">+J449/J$485</f>
        <v>0.8126570552816923</v>
      </c>
      <c r="K450" s="139"/>
      <c r="L450" s="140"/>
      <c r="M450" s="3"/>
      <c r="N450" s="135" t="s">
        <v>15</v>
      </c>
      <c r="O450" s="138">
        <f t="shared" ref="O450" si="1437">+O449/O$485</f>
        <v>0.72972124644928249</v>
      </c>
      <c r="P450" s="138">
        <f t="shared" ref="P450" si="1438">+P449/P$485</f>
        <v>0.69084978222167104</v>
      </c>
      <c r="Q450" s="138">
        <f t="shared" ref="Q450" si="1439">+Q449/Q$485</f>
        <v>0.6271954863479372</v>
      </c>
      <c r="R450" s="138">
        <f t="shared" ref="R450" si="1440">+R449/R$485</f>
        <v>0.68102638179883723</v>
      </c>
      <c r="S450" s="138">
        <f t="shared" ref="S450:W450" si="1441">+S449/S$485</f>
        <v>0.70752168797769743</v>
      </c>
      <c r="T450" s="138">
        <f t="shared" si="1441"/>
        <v>0.69115685539061411</v>
      </c>
      <c r="U450" s="138">
        <f t="shared" si="1441"/>
        <v>0.67359068289040536</v>
      </c>
      <c r="V450" s="138">
        <f t="shared" si="1441"/>
        <v>0.75848986715363287</v>
      </c>
      <c r="W450" s="139">
        <f t="shared" si="1441"/>
        <v>0.78021512369975921</v>
      </c>
      <c r="X450" s="139">
        <f t="shared" ref="X450" si="1442">+X449/X$485</f>
        <v>0.84423770399053344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43">+D449/C449-1</f>
        <v>1.2548168461537834E-2</v>
      </c>
      <c r="E451" s="142">
        <f t="shared" ref="E451" si="1444">+E449/D449-1</f>
        <v>-5.9638792505966931E-2</v>
      </c>
      <c r="F451" s="142">
        <f t="shared" ref="F451:J451" si="1445">+F449/E449-1</f>
        <v>-0.16198032741007085</v>
      </c>
      <c r="G451" s="142">
        <f t="shared" si="1445"/>
        <v>5.2568380740906528E-2</v>
      </c>
      <c r="H451" s="142">
        <f t="shared" si="1445"/>
        <v>0.15268905590318704</v>
      </c>
      <c r="I451" s="142">
        <f t="shared" si="1445"/>
        <v>0.18261594325458708</v>
      </c>
      <c r="J451" s="143">
        <f t="shared" si="1445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446">+Q449/P449-1</f>
        <v>-3.1056887378429376E-2</v>
      </c>
      <c r="R451" s="142">
        <f t="shared" ref="R451" si="1447">+R449/Q449-1</f>
        <v>1.0082351442640025E-2</v>
      </c>
      <c r="S451" s="142">
        <f t="shared" ref="S451" si="1448">+S449/R449-1</f>
        <v>-0.13124894374210416</v>
      </c>
      <c r="T451" s="142">
        <f t="shared" ref="T451" si="1449">+T449/S449-1</f>
        <v>-5.7098932958316695E-2</v>
      </c>
      <c r="U451" s="142">
        <f t="shared" ref="U451" si="1450">+U449/T449-1</f>
        <v>5.8331124350255781E-2</v>
      </c>
      <c r="V451" s="142">
        <f t="shared" ref="V451" si="1451">+V449/U449-1</f>
        <v>0.21839862997978465</v>
      </c>
      <c r="W451" s="143">
        <f t="shared" ref="W451:X451" si="1452">+W449/V449-1</f>
        <v>7.0873463192067554E-2</v>
      </c>
      <c r="X451" s="143">
        <f t="shared" si="1452"/>
        <v>9.1470439492289612E-2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96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97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453">+C454+1</f>
        <v>2018</v>
      </c>
      <c r="E454" s="129">
        <f t="shared" ref="E454" si="1454">+D454+1</f>
        <v>2019</v>
      </c>
      <c r="F454" s="129">
        <f t="shared" ref="F454" si="1455">+E454+1</f>
        <v>2020</v>
      </c>
      <c r="G454" s="129">
        <f t="shared" ref="G454" si="1456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457">+P454+1</f>
        <v>2018</v>
      </c>
      <c r="R454" s="129">
        <f t="shared" ref="R454" si="1458">+Q454+1</f>
        <v>2019</v>
      </c>
      <c r="S454" s="129">
        <f t="shared" ref="S454" si="1459">+R454+1</f>
        <v>2020</v>
      </c>
      <c r="T454" s="129">
        <f t="shared" ref="T454" si="1460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461">+C294/C133</f>
        <v>2.6083014011173837</v>
      </c>
      <c r="D455" s="158">
        <f t="shared" si="1461"/>
        <v>2.9424003504161194</v>
      </c>
      <c r="E455" s="158">
        <f t="shared" si="1461"/>
        <v>2.3407519109770685</v>
      </c>
      <c r="F455" s="158">
        <f t="shared" si="1461"/>
        <v>2.0930288751963277</v>
      </c>
      <c r="G455" s="158">
        <f t="shared" si="1461"/>
        <v>2.1180703188879804</v>
      </c>
      <c r="H455" s="158">
        <f t="shared" si="1461"/>
        <v>2.2657552517505835</v>
      </c>
      <c r="I455" s="158">
        <f t="shared" ref="I455:J455" si="1462">+I294/I133</f>
        <v>3.0620543966200158</v>
      </c>
      <c r="J455" s="180">
        <f t="shared" si="1462"/>
        <v>4.3797101449275369</v>
      </c>
      <c r="K455" s="181">
        <f t="shared" ref="K455" si="1463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464">+P294/P133</f>
        <v>2.9134845303398209</v>
      </c>
      <c r="Q455" s="158">
        <f t="shared" si="1464"/>
        <v>3.2536876014241773</v>
      </c>
      <c r="R455" s="158">
        <f t="shared" si="1464"/>
        <v>3.1385107386889879</v>
      </c>
      <c r="S455" s="158">
        <f t="shared" si="1464"/>
        <v>2.7322931253267617</v>
      </c>
      <c r="T455" s="158">
        <f t="shared" si="1464"/>
        <v>2.2933817832530616</v>
      </c>
      <c r="U455" s="158">
        <f t="shared" si="1464"/>
        <v>2.830677893340098</v>
      </c>
      <c r="V455" s="158">
        <f t="shared" si="1464"/>
        <v>3.2596556061816662</v>
      </c>
      <c r="W455" s="180">
        <f t="shared" si="1464"/>
        <v>4.2538962551838768</v>
      </c>
      <c r="X455" s="181">
        <f t="shared" ref="X455" si="1465">+X294/X133</f>
        <v>4.3263949421859076</v>
      </c>
      <c r="Y455" s="147">
        <f t="shared" ref="Y455:Y461" si="1466">+X455/W455-1</f>
        <v>1.7042890247660036E-2</v>
      </c>
      <c r="Z455" s="127">
        <f t="shared" ref="Z455:Z461" si="1467">+POWER(X455/S455,0.2)-1</f>
        <v>9.6275666929257042E-2</v>
      </c>
    </row>
    <row r="456" spans="1:26" x14ac:dyDescent="0.25">
      <c r="A456" s="133" t="s">
        <v>11</v>
      </c>
      <c r="B456" s="158">
        <f t="shared" ref="B456:G456" si="1468">+B295/B134</f>
        <v>2.830828699277923</v>
      </c>
      <c r="C456" s="158">
        <f t="shared" si="1468"/>
        <v>2.7153256704980842</v>
      </c>
      <c r="D456" s="158">
        <f t="shared" si="1468"/>
        <v>3.233227606696913</v>
      </c>
      <c r="E456" s="158">
        <f t="shared" si="1468"/>
        <v>2.6072066163879475</v>
      </c>
      <c r="F456" s="158">
        <f t="shared" si="1468"/>
        <v>2.0270062519216969</v>
      </c>
      <c r="G456" s="158">
        <f t="shared" si="1468"/>
        <v>2.4721437661007477</v>
      </c>
      <c r="H456" s="158">
        <f t="shared" si="1461"/>
        <v>3.1724662576687122</v>
      </c>
      <c r="I456" s="158">
        <f t="shared" ref="I456:J466" si="1469">+I295/I134</f>
        <v>4.1729296902437314</v>
      </c>
      <c r="J456" s="180">
        <f t="shared" si="1469"/>
        <v>3.589180282850474</v>
      </c>
      <c r="K456" s="181">
        <f t="shared" ref="K456:K461" si="1470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471">+O295/O134</f>
        <v>2.9016117708760794</v>
      </c>
      <c r="P456" s="158">
        <f t="shared" si="1471"/>
        <v>2.906889725655172</v>
      </c>
      <c r="Q456" s="158">
        <f t="shared" si="1471"/>
        <v>3.2948347477841287</v>
      </c>
      <c r="R456" s="158">
        <f t="shared" si="1471"/>
        <v>3.0895286777418622</v>
      </c>
      <c r="S456" s="158">
        <f t="shared" si="1471"/>
        <v>2.6708650977792505</v>
      </c>
      <c r="T456" s="158">
        <f t="shared" si="1471"/>
        <v>2.3305545904479659</v>
      </c>
      <c r="U456" s="158">
        <f t="shared" si="1471"/>
        <v>2.8771839490420263</v>
      </c>
      <c r="V456" s="158">
        <f t="shared" si="1464"/>
        <v>3.3096473080189255</v>
      </c>
      <c r="W456" s="180">
        <f t="shared" si="1464"/>
        <v>4.2098105191341553</v>
      </c>
      <c r="X456" s="181">
        <f t="shared" ref="X456:X458" si="1472">+X295/X134</f>
        <v>4.3668045830681104</v>
      </c>
      <c r="Y456" s="147">
        <f t="shared" si="1466"/>
        <v>3.7292429961015117E-2</v>
      </c>
      <c r="Z456" s="127">
        <f t="shared" si="1467"/>
        <v>0.10332221063143221</v>
      </c>
    </row>
    <row r="457" spans="1:26" x14ac:dyDescent="0.25">
      <c r="A457" s="133" t="s">
        <v>0</v>
      </c>
      <c r="B457" s="158">
        <f t="shared" ref="B457:G457" si="1473">+B296/B135</f>
        <v>2.7758767269156133</v>
      </c>
      <c r="C457" s="158">
        <f t="shared" si="1473"/>
        <v>3.4379956887786229</v>
      </c>
      <c r="D457" s="158">
        <f t="shared" si="1473"/>
        <v>3.6318252730109202</v>
      </c>
      <c r="E457" s="158">
        <f t="shared" si="1473"/>
        <v>2.9900836362353109</v>
      </c>
      <c r="F457" s="158">
        <f t="shared" si="1473"/>
        <v>2.4009900990099009</v>
      </c>
      <c r="G457" s="158">
        <f t="shared" si="1473"/>
        <v>2.7682289483245297</v>
      </c>
      <c r="H457" s="158">
        <f t="shared" si="1461"/>
        <v>3.0254524031921139</v>
      </c>
      <c r="I457" s="158">
        <f t="shared" si="1469"/>
        <v>3.8674760166397832</v>
      </c>
      <c r="J457" s="180">
        <f t="shared" si="1469"/>
        <v>4.3115569950233033</v>
      </c>
      <c r="K457" s="181">
        <f t="shared" si="1470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474">+O296/O135</f>
        <v>2.897757962879798</v>
      </c>
      <c r="P457" s="158">
        <f t="shared" si="1474"/>
        <v>2.9536606406032404</v>
      </c>
      <c r="Q457" s="158">
        <f t="shared" si="1474"/>
        <v>3.3071928209425878</v>
      </c>
      <c r="R457" s="158">
        <f t="shared" si="1474"/>
        <v>3.0469327420546923</v>
      </c>
      <c r="S457" s="158">
        <f t="shared" si="1474"/>
        <v>2.627403376091058</v>
      </c>
      <c r="T457" s="158">
        <f t="shared" si="1474"/>
        <v>2.3613261474617131</v>
      </c>
      <c r="U457" s="158">
        <f t="shared" si="1474"/>
        <v>2.8970833856109501</v>
      </c>
      <c r="V457" s="158">
        <f t="shared" si="1464"/>
        <v>3.3794331836810936</v>
      </c>
      <c r="W457" s="180">
        <f t="shared" si="1464"/>
        <v>4.2610367132771376</v>
      </c>
      <c r="X457" s="181">
        <f t="shared" si="1472"/>
        <v>4.3980918381853522</v>
      </c>
      <c r="Y457" s="147">
        <f t="shared" si="1466"/>
        <v>3.2164736924504611E-2</v>
      </c>
      <c r="Z457" s="127">
        <f t="shared" si="1467"/>
        <v>0.10853014592162191</v>
      </c>
    </row>
    <row r="458" spans="1:26" x14ac:dyDescent="0.25">
      <c r="A458" s="133" t="s">
        <v>1</v>
      </c>
      <c r="B458" s="158">
        <f t="shared" ref="B458:H458" si="1475">+B297/B136</f>
        <v>3.1604034906617318</v>
      </c>
      <c r="C458" s="158">
        <f t="shared" si="1475"/>
        <v>3.3685373940808057</v>
      </c>
      <c r="D458" s="158">
        <f t="shared" si="1475"/>
        <v>3.1617452622300575</v>
      </c>
      <c r="E458" s="158">
        <f t="shared" si="1475"/>
        <v>2.8803569644700477</v>
      </c>
      <c r="F458" s="158">
        <f t="shared" si="1475"/>
        <v>2.1889075812666197</v>
      </c>
      <c r="G458" s="158">
        <f t="shared" si="1475"/>
        <v>2.6466954910438543</v>
      </c>
      <c r="H458" s="158">
        <f t="shared" si="1475"/>
        <v>1.8968370548225644</v>
      </c>
      <c r="I458" s="158">
        <f t="shared" si="1469"/>
        <v>4.3339995508645863</v>
      </c>
      <c r="J458" s="180">
        <f t="shared" si="1469"/>
        <v>3.655530146689721</v>
      </c>
      <c r="K458" s="181">
        <f t="shared" si="1470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476">+O297/O136</f>
        <v>2.9052813755709486</v>
      </c>
      <c r="P458" s="158">
        <f t="shared" si="1476"/>
        <v>2.9623428981327402</v>
      </c>
      <c r="Q458" s="158">
        <f t="shared" si="1476"/>
        <v>3.2924369334464898</v>
      </c>
      <c r="R458" s="158">
        <f t="shared" si="1476"/>
        <v>3.0257489815410401</v>
      </c>
      <c r="S458" s="158">
        <f t="shared" si="1476"/>
        <v>2.5680992131645164</v>
      </c>
      <c r="T458" s="158">
        <f t="shared" si="1476"/>
        <v>2.3989318350491051</v>
      </c>
      <c r="U458" s="158">
        <f t="shared" si="1476"/>
        <v>2.8218085255737915</v>
      </c>
      <c r="V458" s="158">
        <f t="shared" si="1464"/>
        <v>3.6386708676174453</v>
      </c>
      <c r="W458" s="180">
        <f t="shared" si="1464"/>
        <v>4.197819895590098</v>
      </c>
      <c r="X458" s="181">
        <f t="shared" si="1472"/>
        <v>4.4424592412978985</v>
      </c>
      <c r="Y458" s="147">
        <f t="shared" si="1466"/>
        <v>5.8277713621015304E-2</v>
      </c>
      <c r="Z458" s="127">
        <f t="shared" si="1467"/>
        <v>0.11584104091531944</v>
      </c>
    </row>
    <row r="459" spans="1:26" x14ac:dyDescent="0.25">
      <c r="A459" s="133" t="s">
        <v>2</v>
      </c>
      <c r="B459" s="158">
        <f t="shared" ref="B459:H459" si="1477">+B298/B137</f>
        <v>2.9544631809365596</v>
      </c>
      <c r="C459" s="158">
        <f t="shared" si="1477"/>
        <v>3.6088828844042897</v>
      </c>
      <c r="D459" s="158">
        <f t="shared" si="1477"/>
        <v>3.3537824469920632</v>
      </c>
      <c r="E459" s="158">
        <f t="shared" si="1477"/>
        <v>2.9911378100279546</v>
      </c>
      <c r="F459" s="158">
        <f t="shared" si="1477"/>
        <v>1.8714139572121156</v>
      </c>
      <c r="G459" s="158">
        <f t="shared" si="1477"/>
        <v>3.8687266351275351</v>
      </c>
      <c r="H459" s="158">
        <f t="shared" si="1477"/>
        <v>3.4321860341107011</v>
      </c>
      <c r="I459" s="158">
        <f t="shared" si="1469"/>
        <v>3.8940342525999894</v>
      </c>
      <c r="J459" s="180">
        <f t="shared" ref="J459" si="1478">+J298/J137</f>
        <v>4.6058252427184465</v>
      </c>
      <c r="K459" s="181">
        <f t="shared" si="1470"/>
        <v>3.8581259244967523</v>
      </c>
      <c r="L459" s="127">
        <f t="shared" ref="L459:L460" si="1479">+K459/J459-1</f>
        <v>-0.16233775248067983</v>
      </c>
      <c r="M459" s="2"/>
      <c r="N459" s="133" t="s">
        <v>2</v>
      </c>
      <c r="O459" s="158">
        <f t="shared" ref="O459:U459" si="1480">+O298/O137</f>
        <v>2.9190349688781945</v>
      </c>
      <c r="P459" s="158">
        <f t="shared" si="1480"/>
        <v>3.0053210050316927</v>
      </c>
      <c r="Q459" s="158">
        <f t="shared" si="1480"/>
        <v>3.2744416328100434</v>
      </c>
      <c r="R459" s="158">
        <f t="shared" si="1480"/>
        <v>2.9992418168033024</v>
      </c>
      <c r="S459" s="158">
        <f t="shared" si="1480"/>
        <v>2.457517260130313</v>
      </c>
      <c r="T459" s="158">
        <f t="shared" si="1480"/>
        <v>2.5594614139767593</v>
      </c>
      <c r="U459" s="158">
        <f t="shared" si="1480"/>
        <v>2.7876836467966313</v>
      </c>
      <c r="V459" s="158">
        <f t="shared" si="1464"/>
        <v>3.681859481071784</v>
      </c>
      <c r="W459" s="180">
        <f t="shared" ref="W459:X466" si="1481">+W298/W137</f>
        <v>4.2689843686943414</v>
      </c>
      <c r="X459" s="181">
        <f t="shared" si="1481"/>
        <v>4.3776336067075476</v>
      </c>
      <c r="Y459" s="147">
        <f t="shared" si="1466"/>
        <v>2.545083997260833E-2</v>
      </c>
      <c r="Z459" s="127">
        <f t="shared" si="1467"/>
        <v>0.12240234816461615</v>
      </c>
    </row>
    <row r="460" spans="1:26" x14ac:dyDescent="0.25">
      <c r="A460" s="133" t="s">
        <v>3</v>
      </c>
      <c r="B460" s="158">
        <f t="shared" ref="B460:H467" si="1482">+B299/B138</f>
        <v>2.7912005191935991</v>
      </c>
      <c r="C460" s="158">
        <f t="shared" si="1482"/>
        <v>3.0322484323678704</v>
      </c>
      <c r="D460" s="158">
        <f t="shared" si="1482"/>
        <v>3.5568513119533534</v>
      </c>
      <c r="E460" s="158">
        <f t="shared" si="1482"/>
        <v>2.9961105594174113</v>
      </c>
      <c r="F460" s="158">
        <f t="shared" si="1482"/>
        <v>1.8318833764401599</v>
      </c>
      <c r="G460" s="158">
        <f t="shared" si="1482"/>
        <v>3.2921931341795907</v>
      </c>
      <c r="H460" s="158">
        <f t="shared" si="1482"/>
        <v>4.9185686228065464</v>
      </c>
      <c r="I460" s="158">
        <f t="shared" si="1469"/>
        <v>7.2806636410981334</v>
      </c>
      <c r="J460" s="180">
        <f t="shared" ref="J460:J466" si="1483">+J299/J138</f>
        <v>7.1717629294073237</v>
      </c>
      <c r="K460" s="181">
        <f t="shared" si="1470"/>
        <v>3.8924689188309576</v>
      </c>
      <c r="L460" s="127">
        <f t="shared" si="1479"/>
        <v>-0.45725075450135766</v>
      </c>
      <c r="M460" s="2"/>
      <c r="N460" s="133" t="s">
        <v>3</v>
      </c>
      <c r="O460" s="158">
        <f t="shared" ref="O460:U460" si="1484">+O299/O138</f>
        <v>2.9037425071931304</v>
      </c>
      <c r="P460" s="158">
        <f t="shared" si="1484"/>
        <v>3.0260058614556216</v>
      </c>
      <c r="Q460" s="158">
        <f t="shared" si="1484"/>
        <v>3.3215059503249913</v>
      </c>
      <c r="R460" s="158">
        <f t="shared" si="1484"/>
        <v>2.9619816579849974</v>
      </c>
      <c r="S460" s="158">
        <f t="shared" si="1484"/>
        <v>2.3654292181624661</v>
      </c>
      <c r="T460" s="158">
        <f t="shared" si="1484"/>
        <v>2.6938956981494835</v>
      </c>
      <c r="U460" s="158">
        <f t="shared" si="1484"/>
        <v>2.8823923521103709</v>
      </c>
      <c r="V460" s="158">
        <f t="shared" si="1464"/>
        <v>3.7525936812983232</v>
      </c>
      <c r="W460" s="180">
        <f t="shared" si="1481"/>
        <v>4.2580353247256912</v>
      </c>
      <c r="X460" s="181">
        <f t="shared" si="1481"/>
        <v>4.1407565263718702</v>
      </c>
      <c r="Y460" s="147">
        <f t="shared" si="1466"/>
        <v>-2.7542936920415539E-2</v>
      </c>
      <c r="Z460" s="127">
        <f t="shared" si="1467"/>
        <v>0.11849474399502302</v>
      </c>
    </row>
    <row r="461" spans="1:26" x14ac:dyDescent="0.25">
      <c r="A461" s="133" t="s">
        <v>4</v>
      </c>
      <c r="B461" s="158">
        <f t="shared" ref="B461:F461" si="1485">+B300/B139</f>
        <v>2.9476925807704659</v>
      </c>
      <c r="C461" s="158">
        <f t="shared" si="1485"/>
        <v>3.1191596992903814</v>
      </c>
      <c r="D461" s="158">
        <f t="shared" si="1485"/>
        <v>3.0497244048317107</v>
      </c>
      <c r="E461" s="158">
        <f t="shared" si="1485"/>
        <v>3.282984323149102</v>
      </c>
      <c r="F461" s="158">
        <f t="shared" si="1485"/>
        <v>2.644823190595345</v>
      </c>
      <c r="G461" s="158">
        <f t="shared" si="1482"/>
        <v>3.2424161392875184</v>
      </c>
      <c r="H461" s="158">
        <f t="shared" ref="H461" si="1486">+H300/H139</f>
        <v>3.6348076422356863</v>
      </c>
      <c r="I461" s="158">
        <f t="shared" si="1469"/>
        <v>4.0168130965172875</v>
      </c>
      <c r="J461" s="180">
        <f t="shared" si="1483"/>
        <v>4.8760763046477331</v>
      </c>
      <c r="K461" s="181">
        <f t="shared" si="1470"/>
        <v>3.7930454290521594</v>
      </c>
      <c r="L461" s="127">
        <f t="shared" ref="L461" si="1487">+K461/J461-1</f>
        <v>-0.22211114181360547</v>
      </c>
      <c r="M461" s="2"/>
      <c r="N461" s="133" t="s">
        <v>4</v>
      </c>
      <c r="O461" s="158">
        <f t="shared" ref="O461:U461" si="1488">+O300/O139</f>
        <v>2.8856723278321197</v>
      </c>
      <c r="P461" s="158">
        <f t="shared" si="1488"/>
        <v>3.040512900381557</v>
      </c>
      <c r="Q461" s="158">
        <f t="shared" si="1488"/>
        <v>3.3106765562521594</v>
      </c>
      <c r="R461" s="158">
        <f t="shared" si="1488"/>
        <v>2.9843818484247091</v>
      </c>
      <c r="S461" s="158">
        <f t="shared" si="1488"/>
        <v>2.3191912268677179</v>
      </c>
      <c r="T461" s="158">
        <f t="shared" si="1488"/>
        <v>2.7443144859411626</v>
      </c>
      <c r="U461" s="158">
        <f t="shared" si="1488"/>
        <v>2.8910771559186252</v>
      </c>
      <c r="V461" s="158">
        <f t="shared" si="1464"/>
        <v>3.779819351087411</v>
      </c>
      <c r="W461" s="180">
        <f t="shared" si="1481"/>
        <v>4.3461060838673502</v>
      </c>
      <c r="X461" s="181">
        <f t="shared" si="1481"/>
        <v>4.0233809732858568</v>
      </c>
      <c r="Y461" s="147">
        <f t="shared" si="1466"/>
        <v>-7.4256151219925792E-2</v>
      </c>
      <c r="Z461" s="127">
        <f t="shared" si="1467"/>
        <v>0.11647992774471949</v>
      </c>
    </row>
    <row r="462" spans="1:26" x14ac:dyDescent="0.25">
      <c r="A462" s="133" t="s">
        <v>5</v>
      </c>
      <c r="B462" s="158">
        <f t="shared" ref="B462:F462" si="1489">+B301/B140</f>
        <v>2.8893867908108479</v>
      </c>
      <c r="C462" s="158">
        <f t="shared" si="1489"/>
        <v>3.1975928806384983</v>
      </c>
      <c r="D462" s="158">
        <f t="shared" si="1489"/>
        <v>3.4763042391243957</v>
      </c>
      <c r="E462" s="158">
        <f t="shared" si="1489"/>
        <v>2.7412059092440209</v>
      </c>
      <c r="F462" s="158">
        <f t="shared" si="1489"/>
        <v>2.2367211440245152</v>
      </c>
      <c r="G462" s="158">
        <f t="shared" si="1482"/>
        <v>2.4314949705168227</v>
      </c>
      <c r="H462" s="158">
        <f t="shared" ref="H462" si="1490">+H301/H140</f>
        <v>3.3622702459435305</v>
      </c>
      <c r="I462" s="158">
        <f t="shared" si="1469"/>
        <v>3.8562271062271063</v>
      </c>
      <c r="J462" s="180">
        <f t="shared" si="1483"/>
        <v>4.5289877781259795</v>
      </c>
      <c r="K462" s="181"/>
      <c r="L462" s="127"/>
      <c r="M462" s="2"/>
      <c r="N462" s="133" t="s">
        <v>5</v>
      </c>
      <c r="O462" s="158">
        <f t="shared" ref="O462:U462" si="1491">+O301/O140</f>
        <v>2.893499026325804</v>
      </c>
      <c r="P462" s="158">
        <f t="shared" si="1491"/>
        <v>3.0753080976029694</v>
      </c>
      <c r="Q462" s="158">
        <f t="shared" si="1491"/>
        <v>3.3430769758143684</v>
      </c>
      <c r="R462" s="158">
        <f t="shared" si="1491"/>
        <v>2.9097891352210956</v>
      </c>
      <c r="S462" s="158">
        <f t="shared" si="1491"/>
        <v>2.2714783895170667</v>
      </c>
      <c r="T462" s="158">
        <f t="shared" si="1491"/>
        <v>2.7620613954581166</v>
      </c>
      <c r="U462" s="158">
        <f t="shared" si="1491"/>
        <v>2.9829167481712422</v>
      </c>
      <c r="V462" s="158">
        <f t="shared" si="1464"/>
        <v>3.8416252683763075</v>
      </c>
      <c r="W462" s="180">
        <f t="shared" si="1481"/>
        <v>4.4197249194437829</v>
      </c>
      <c r="X462" s="181"/>
      <c r="Y462" s="147"/>
      <c r="Z462" s="127"/>
    </row>
    <row r="463" spans="1:26" x14ac:dyDescent="0.25">
      <c r="A463" s="133" t="s">
        <v>6</v>
      </c>
      <c r="B463" s="158">
        <f t="shared" ref="B463:F463" si="1492">+B302/B141</f>
        <v>2.9692543666193614</v>
      </c>
      <c r="C463" s="158">
        <f t="shared" si="1492"/>
        <v>3.6257950381197088</v>
      </c>
      <c r="D463" s="158">
        <f t="shared" si="1492"/>
        <v>3.3444658531363731</v>
      </c>
      <c r="E463" s="158">
        <f t="shared" si="1492"/>
        <v>3.120990734141126</v>
      </c>
      <c r="F463" s="158">
        <f t="shared" si="1492"/>
        <v>2.3843796764768759</v>
      </c>
      <c r="G463" s="158">
        <f t="shared" si="1482"/>
        <v>2.9890718344747191</v>
      </c>
      <c r="H463" s="158">
        <f t="shared" ref="H463" si="1493">+H302/H141</f>
        <v>3.1185228619662229</v>
      </c>
      <c r="I463" s="158">
        <f t="shared" si="1469"/>
        <v>4.1401114066342153</v>
      </c>
      <c r="J463" s="180">
        <f t="shared" si="1483"/>
        <v>4.15633758953597</v>
      </c>
      <c r="K463" s="181"/>
      <c r="L463" s="127"/>
      <c r="M463" s="2"/>
      <c r="N463" s="133" t="s">
        <v>6</v>
      </c>
      <c r="O463" s="158">
        <f t="shared" ref="O463:U463" si="1494">+O302/O141</f>
        <v>2.8880734594976669</v>
      </c>
      <c r="P463" s="158">
        <f t="shared" si="1494"/>
        <v>3.1233493438467335</v>
      </c>
      <c r="Q463" s="158">
        <f t="shared" si="1494"/>
        <v>3.3222363318117858</v>
      </c>
      <c r="R463" s="158">
        <f t="shared" si="1494"/>
        <v>2.895243369374116</v>
      </c>
      <c r="S463" s="158">
        <f t="shared" si="1494"/>
        <v>2.2400093197259472</v>
      </c>
      <c r="T463" s="158">
        <f t="shared" si="1494"/>
        <v>2.8211659801453548</v>
      </c>
      <c r="U463" s="158">
        <f t="shared" si="1494"/>
        <v>2.9941686417282929</v>
      </c>
      <c r="V463" s="158">
        <f t="shared" si="1464"/>
        <v>3.9695414989515765</v>
      </c>
      <c r="W463" s="180">
        <f t="shared" si="1481"/>
        <v>4.4271420051686432</v>
      </c>
      <c r="X463" s="181"/>
      <c r="Y463" s="147"/>
      <c r="Z463" s="127"/>
    </row>
    <row r="464" spans="1:26" x14ac:dyDescent="0.25">
      <c r="A464" s="133" t="s">
        <v>7</v>
      </c>
      <c r="B464" s="158">
        <f t="shared" ref="B464:F464" si="1495">+B303/B142</f>
        <v>2.858812497965372</v>
      </c>
      <c r="C464" s="158">
        <f t="shared" si="1495"/>
        <v>3.4265659895777945</v>
      </c>
      <c r="D464" s="158">
        <f t="shared" si="1495"/>
        <v>2.9448928387896376</v>
      </c>
      <c r="E464" s="158">
        <f t="shared" si="1495"/>
        <v>2.2691412966521693</v>
      </c>
      <c r="F464" s="158">
        <f t="shared" si="1495"/>
        <v>2.6426048961513136</v>
      </c>
      <c r="G464" s="158">
        <f t="shared" si="1482"/>
        <v>2.6836771128017802</v>
      </c>
      <c r="H464" s="158">
        <f t="shared" ref="H464:H466" si="1496">+H303/H142</f>
        <v>3.3793438519784527</v>
      </c>
      <c r="I464" s="158">
        <f t="shared" si="1469"/>
        <v>4.1249634182031016</v>
      </c>
      <c r="J464" s="180">
        <f t="shared" si="1483"/>
        <v>3.5787526427061311</v>
      </c>
      <c r="K464" s="181"/>
      <c r="L464" s="127"/>
      <c r="M464" s="2"/>
      <c r="N464" s="133" t="s">
        <v>7</v>
      </c>
      <c r="O464" s="158">
        <f t="shared" ref="O464:U464" si="1497">+O303/O142</f>
        <v>2.8633721699307473</v>
      </c>
      <c r="P464" s="158">
        <f t="shared" si="1497"/>
        <v>3.1750742709145139</v>
      </c>
      <c r="Q464" s="158">
        <f t="shared" si="1497"/>
        <v>3.2748272015096251</v>
      </c>
      <c r="R464" s="158">
        <f t="shared" si="1497"/>
        <v>2.8254763471289692</v>
      </c>
      <c r="S464" s="158">
        <f t="shared" si="1497"/>
        <v>2.2674153047469447</v>
      </c>
      <c r="T464" s="158">
        <f t="shared" si="1497"/>
        <v>2.8235448529994449</v>
      </c>
      <c r="U464" s="158">
        <f t="shared" si="1497"/>
        <v>3.0549304976326921</v>
      </c>
      <c r="V464" s="158">
        <f t="shared" si="1464"/>
        <v>4.0492166104220955</v>
      </c>
      <c r="W464" s="180">
        <f t="shared" si="1481"/>
        <v>4.3631670458936167</v>
      </c>
      <c r="X464" s="181"/>
      <c r="Y464" s="147"/>
      <c r="Z464" s="127"/>
    </row>
    <row r="465" spans="1:26" x14ac:dyDescent="0.25">
      <c r="A465" s="133" t="s">
        <v>8</v>
      </c>
      <c r="B465" s="158">
        <f t="shared" ref="B465:F465" si="1498">+B304/B143</f>
        <v>3.3068598000082301</v>
      </c>
      <c r="C465" s="158">
        <f t="shared" si="1498"/>
        <v>3.432883880056349</v>
      </c>
      <c r="D465" s="158">
        <f t="shared" si="1498"/>
        <v>2.9429308669280516</v>
      </c>
      <c r="E465" s="158">
        <f t="shared" si="1498"/>
        <v>2.7843472848918625</v>
      </c>
      <c r="F465" s="158">
        <f t="shared" si="1498"/>
        <v>2.9610572687224668</v>
      </c>
      <c r="G465" s="158">
        <f t="shared" si="1482"/>
        <v>3.1417558591733488</v>
      </c>
      <c r="H465" s="158">
        <f t="shared" si="1496"/>
        <v>3.0139230139230144</v>
      </c>
      <c r="I465" s="158">
        <f t="shared" si="1469"/>
        <v>3.7491095597663486</v>
      </c>
      <c r="J465" s="180">
        <f t="shared" si="1483"/>
        <v>4.0598177736696162</v>
      </c>
      <c r="K465" s="181"/>
      <c r="L465" s="127"/>
      <c r="M465" s="2"/>
      <c r="N465" s="133" t="s">
        <v>8</v>
      </c>
      <c r="O465" s="158">
        <f t="shared" ref="O465:U465" si="1499">+O304/O143</f>
        <v>2.9045796775191932</v>
      </c>
      <c r="P465" s="158">
        <f t="shared" si="1499"/>
        <v>3.1844428453586531</v>
      </c>
      <c r="Q465" s="158">
        <f t="shared" si="1499"/>
        <v>3.2329625425652666</v>
      </c>
      <c r="R465" s="158">
        <f t="shared" si="1499"/>
        <v>2.8132880957469539</v>
      </c>
      <c r="S465" s="158">
        <f t="shared" si="1499"/>
        <v>2.2815749022109406</v>
      </c>
      <c r="T465" s="158">
        <f t="shared" si="1499"/>
        <v>2.8367573982051471</v>
      </c>
      <c r="U465" s="158">
        <f t="shared" si="1499"/>
        <v>3.0448655482109723</v>
      </c>
      <c r="V465" s="158">
        <f t="shared" si="1464"/>
        <v>4.1339195363978662</v>
      </c>
      <c r="W465" s="180">
        <f t="shared" si="1481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500">+B305/B144</f>
        <v>2.9940139136062127</v>
      </c>
      <c r="C466" s="158">
        <f t="shared" si="1500"/>
        <v>3.3344814389590507</v>
      </c>
      <c r="D466" s="158">
        <f t="shared" si="1500"/>
        <v>3.1109287472794089</v>
      </c>
      <c r="E466" s="158">
        <f t="shared" si="1500"/>
        <v>2.4677681214783687</v>
      </c>
      <c r="F466" s="158">
        <f t="shared" si="1500"/>
        <v>2.5383251966790015</v>
      </c>
      <c r="G466" s="158">
        <f t="shared" si="1482"/>
        <v>2.3936698927543811</v>
      </c>
      <c r="H466" s="158">
        <f t="shared" si="1496"/>
        <v>4.0709363343238287</v>
      </c>
      <c r="I466" s="158">
        <f t="shared" si="1469"/>
        <v>4.0851189161328323</v>
      </c>
      <c r="J466" s="180">
        <f t="shared" si="1483"/>
        <v>3.8150466372115854</v>
      </c>
      <c r="K466" s="181"/>
      <c r="L466" s="127"/>
      <c r="M466" s="2"/>
      <c r="N466" s="133" t="s">
        <v>9</v>
      </c>
      <c r="O466" s="158">
        <f t="shared" ref="O466:U466" si="1501">+O305/O144</f>
        <v>2.9157217619954579</v>
      </c>
      <c r="P466" s="158">
        <f t="shared" si="1501"/>
        <v>3.213532411513941</v>
      </c>
      <c r="Q466" s="158">
        <f t="shared" si="1501"/>
        <v>3.2146855588192809</v>
      </c>
      <c r="R466" s="158">
        <f t="shared" si="1501"/>
        <v>2.7624660450191416</v>
      </c>
      <c r="S466" s="158">
        <f t="shared" si="1501"/>
        <v>2.286899528556392</v>
      </c>
      <c r="T466" s="158">
        <f t="shared" si="1501"/>
        <v>2.8188746617433216</v>
      </c>
      <c r="U466" s="158">
        <f t="shared" si="1501"/>
        <v>3.1763306569422296</v>
      </c>
      <c r="V466" s="158">
        <f t="shared" si="1464"/>
        <v>4.1355724426466791</v>
      </c>
      <c r="W466" s="180">
        <f t="shared" si="1481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502">+B306/B145</f>
        <v>2.9157217619954587</v>
      </c>
      <c r="C467" s="182">
        <f t="shared" si="1502"/>
        <v>3.213532411513941</v>
      </c>
      <c r="D467" s="182">
        <f t="shared" si="1502"/>
        <v>3.2146855588192809</v>
      </c>
      <c r="E467" s="182">
        <f t="shared" si="1502"/>
        <v>2.7624660450191416</v>
      </c>
      <c r="F467" s="182">
        <f t="shared" si="1502"/>
        <v>2.286899528556392</v>
      </c>
      <c r="G467" s="182">
        <f t="shared" si="1482"/>
        <v>2.8188746617433216</v>
      </c>
      <c r="H467" s="182">
        <f t="shared" ref="H467" si="1503">+H306/H145</f>
        <v>3.1763306569422296</v>
      </c>
      <c r="I467" s="182">
        <f t="shared" ref="I467:J467" si="1504">+I306/I145</f>
        <v>4.1355724426466791</v>
      </c>
      <c r="J467" s="183">
        <f t="shared" si="1504"/>
        <v>4.3572228620107589</v>
      </c>
      <c r="K467" s="183"/>
      <c r="L467" s="137"/>
      <c r="M467" s="3"/>
      <c r="N467" s="134" t="s">
        <v>14</v>
      </c>
      <c r="O467" s="182">
        <f t="shared" ref="O467:W467" si="1505">+O306/O145</f>
        <v>2.8980664140010464</v>
      </c>
      <c r="P467" s="182">
        <f t="shared" si="1505"/>
        <v>3.0431763379360488</v>
      </c>
      <c r="Q467" s="182">
        <f t="shared" si="1505"/>
        <v>3.286473611396262</v>
      </c>
      <c r="R467" s="182">
        <f t="shared" si="1505"/>
        <v>2.9511116555007124</v>
      </c>
      <c r="S467" s="182">
        <f t="shared" si="1505"/>
        <v>2.4137910032774719</v>
      </c>
      <c r="T467" s="182">
        <f t="shared" si="1505"/>
        <v>2.6130182815712519</v>
      </c>
      <c r="U467" s="182">
        <f t="shared" si="1505"/>
        <v>2.9289451921592162</v>
      </c>
      <c r="V467" s="182">
        <f t="shared" si="1505"/>
        <v>3.7038681887939613</v>
      </c>
      <c r="W467" s="183">
        <f t="shared" si="1505"/>
        <v>4.3117142769473507</v>
      </c>
      <c r="X467" s="183">
        <f t="shared" ref="X467" si="1506">+X306/X145</f>
        <v>4.2973527604188861</v>
      </c>
      <c r="Y467" s="149">
        <f>+X467/W467-1</f>
        <v>-3.3308135943164174E-3</v>
      </c>
      <c r="Z467" s="156">
        <f>+POWER(X467/S467,0.2)-1</f>
        <v>0.1222775315125193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507">+C467/C$485</f>
        <v>0.85192929753741675</v>
      </c>
      <c r="D468" s="138">
        <f t="shared" ref="D468" si="1508">+D467/D$485</f>
        <v>0.8450017035287043</v>
      </c>
      <c r="E468" s="138">
        <f t="shared" ref="E468" si="1509">+E467/E$485</f>
        <v>0.81237191807591669</v>
      </c>
      <c r="F468" s="138">
        <f t="shared" ref="F468:G468" si="1510">+F467/F$485</f>
        <v>0.83171434782729992</v>
      </c>
      <c r="G468" s="138">
        <f t="shared" si="1510"/>
        <v>0.92157576808931807</v>
      </c>
      <c r="H468" s="138">
        <f t="shared" ref="H468" si="1511">+H467/H$485</f>
        <v>0.97778591674099435</v>
      </c>
      <c r="I468" s="138">
        <f t="shared" ref="I468:J468" si="1512">+I467/I$485</f>
        <v>1.1700097131550526</v>
      </c>
      <c r="J468" s="139">
        <f t="shared" si="1512"/>
        <v>1.2272004707366497</v>
      </c>
      <c r="K468" s="139"/>
      <c r="L468" s="140"/>
      <c r="M468" s="3"/>
      <c r="N468" s="135" t="s">
        <v>15</v>
      </c>
      <c r="O468" s="138">
        <f t="shared" ref="O468" si="1513">+O467/O$485</f>
        <v>0.85006823716055957</v>
      </c>
      <c r="P468" s="138">
        <f t="shared" ref="P468" si="1514">+P467/P$485</f>
        <v>0.84162476690794186</v>
      </c>
      <c r="Q468" s="138">
        <f t="shared" ref="Q468" si="1515">+Q467/Q$485</f>
        <v>0.85161353934255302</v>
      </c>
      <c r="R468" s="138">
        <f t="shared" ref="R468" si="1516">+R467/R$485</f>
        <v>0.82205765552063415</v>
      </c>
      <c r="S468" s="138">
        <f t="shared" ref="S468:W468" si="1517">+S467/S$485</f>
        <v>0.80407540162032509</v>
      </c>
      <c r="T468" s="138">
        <f t="shared" si="1517"/>
        <v>0.90180013519387847</v>
      </c>
      <c r="U468" s="138">
        <f t="shared" si="1517"/>
        <v>0.93084415447546931</v>
      </c>
      <c r="V468" s="138">
        <f t="shared" si="1517"/>
        <v>1.0878914501200265</v>
      </c>
      <c r="W468" s="139">
        <f t="shared" si="1517"/>
        <v>1.2164841061271179</v>
      </c>
      <c r="X468" s="139">
        <f t="shared" ref="X468" si="1518">+X467/X$485</f>
        <v>1.2019762102322962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519">+D467/C467-1</f>
        <v>3.5884103773420328E-4</v>
      </c>
      <c r="E469" s="142">
        <f t="shared" ref="E469" si="1520">+E467/D467-1</f>
        <v>-0.14067301623311323</v>
      </c>
      <c r="F469" s="142">
        <f t="shared" ref="F469:J469" si="1521">+F467/E467-1</f>
        <v>-0.17215289118945687</v>
      </c>
      <c r="G469" s="142">
        <f t="shared" si="1521"/>
        <v>0.23261849790259026</v>
      </c>
      <c r="H469" s="142">
        <f t="shared" si="1521"/>
        <v>0.1268080486337908</v>
      </c>
      <c r="I469" s="142">
        <f t="shared" si="1521"/>
        <v>0.3019968288276027</v>
      </c>
      <c r="J469" s="143">
        <f t="shared" si="1521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522">+Q467/P467-1</f>
        <v>7.994846385576948E-2</v>
      </c>
      <c r="R469" s="142">
        <f t="shared" ref="R469" si="1523">+R467/Q467-1</f>
        <v>-0.10204310015837026</v>
      </c>
      <c r="S469" s="142">
        <f t="shared" ref="S469" si="1524">+S467/R467-1</f>
        <v>-0.18207398260303165</v>
      </c>
      <c r="T469" s="142">
        <f t="shared" ref="T469" si="1525">+T467/S467-1</f>
        <v>8.2537087106243634E-2</v>
      </c>
      <c r="U469" s="142">
        <f t="shared" ref="U469" si="1526">+U467/T467-1</f>
        <v>0.1209049752219844</v>
      </c>
      <c r="V469" s="142">
        <f t="shared" ref="V469" si="1527">+V467/U467-1</f>
        <v>0.26457408582079767</v>
      </c>
      <c r="W469" s="143">
        <f t="shared" ref="W469:X469" si="1528">+W467/V467-1</f>
        <v>0.16411115546509603</v>
      </c>
      <c r="X469" s="143">
        <f t="shared" si="1528"/>
        <v>-3.3308135943164174E-3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6" t="s">
        <v>98</v>
      </c>
      <c r="B471" s="377"/>
      <c r="C471" s="377"/>
      <c r="D471" s="377"/>
      <c r="E471" s="377"/>
      <c r="F471" s="377"/>
      <c r="G471" s="377"/>
      <c r="H471" s="377"/>
      <c r="I471" s="377"/>
      <c r="J471" s="377"/>
      <c r="K471" s="377"/>
      <c r="L471" s="378"/>
      <c r="M471" s="2"/>
      <c r="N471" s="376" t="s">
        <v>99</v>
      </c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8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529">+C472+1</f>
        <v>2018</v>
      </c>
      <c r="E472" s="129">
        <f t="shared" ref="E472" si="1530">+D472+1</f>
        <v>2019</v>
      </c>
      <c r="F472" s="129">
        <f t="shared" ref="F472" si="1531">+E472+1</f>
        <v>2020</v>
      </c>
      <c r="G472" s="129">
        <f t="shared" ref="G472" si="1532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533">+P472+1</f>
        <v>2018</v>
      </c>
      <c r="R472" s="129">
        <f t="shared" ref="R472" si="1534">+Q472+1</f>
        <v>2019</v>
      </c>
      <c r="S472" s="129">
        <f t="shared" ref="S472" si="1535">+R472+1</f>
        <v>2020</v>
      </c>
      <c r="T472" s="129">
        <f t="shared" ref="T472" si="1536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537">+C312/C151</f>
        <v>3.2503121134211623</v>
      </c>
      <c r="D473" s="158">
        <f t="shared" si="1537"/>
        <v>3.8530159565141151</v>
      </c>
      <c r="E473" s="158">
        <f t="shared" si="1537"/>
        <v>3.3188884100154095</v>
      </c>
      <c r="F473" s="158">
        <f t="shared" si="1537"/>
        <v>2.7543138619263829</v>
      </c>
      <c r="G473" s="158">
        <f t="shared" si="1537"/>
        <v>2.8243302477889798</v>
      </c>
      <c r="H473" s="158">
        <f t="shared" si="1537"/>
        <v>2.9100175659961898</v>
      </c>
      <c r="I473" s="158">
        <f t="shared" ref="I473:J473" si="1538">+I312/I151</f>
        <v>3.4207961296289708</v>
      </c>
      <c r="J473" s="180">
        <f t="shared" si="1538"/>
        <v>3.2663886301980001</v>
      </c>
      <c r="K473" s="181">
        <f t="shared" ref="K473" si="1539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540">+P312/P151</f>
        <v>3.4788410469416493</v>
      </c>
      <c r="Q473" s="158">
        <f t="shared" si="1540"/>
        <v>3.8254850457777003</v>
      </c>
      <c r="R473" s="158">
        <f t="shared" si="1540"/>
        <v>3.7592523812133285</v>
      </c>
      <c r="S473" s="158">
        <f t="shared" si="1540"/>
        <v>3.3470233969728773</v>
      </c>
      <c r="T473" s="158">
        <f t="shared" si="1540"/>
        <v>2.754855147085522</v>
      </c>
      <c r="U473" s="158">
        <f t="shared" si="1540"/>
        <v>3.0668512922974895</v>
      </c>
      <c r="V473" s="158">
        <f t="shared" si="1540"/>
        <v>3.282957449725258</v>
      </c>
      <c r="W473" s="180">
        <f t="shared" si="1540"/>
        <v>3.5250596484980221</v>
      </c>
      <c r="X473" s="181">
        <f t="shared" ref="X473" si="1541">+X312/X151</f>
        <v>3.5616943886469157</v>
      </c>
      <c r="Y473" s="147">
        <f t="shared" ref="Y473:Y479" si="1542">+X473/W473-1</f>
        <v>1.0392658224805729E-2</v>
      </c>
      <c r="Z473" s="127">
        <f t="shared" ref="Z473:Z479" si="1543">+POWER(X473/S473,0.2)-1</f>
        <v>1.25106051573729E-2</v>
      </c>
    </row>
    <row r="474" spans="1:26" x14ac:dyDescent="0.25">
      <c r="A474" s="133" t="s">
        <v>11</v>
      </c>
      <c r="B474" s="158">
        <f t="shared" ref="B474:G474" si="1544">+B313/B152</f>
        <v>3.2250881003350749</v>
      </c>
      <c r="C474" s="158">
        <f t="shared" si="1544"/>
        <v>3.6124982402093528</v>
      </c>
      <c r="D474" s="158">
        <f t="shared" si="1544"/>
        <v>3.8384550847520544</v>
      </c>
      <c r="E474" s="158">
        <f t="shared" si="1544"/>
        <v>3.4574206728904295</v>
      </c>
      <c r="F474" s="158">
        <f t="shared" si="1544"/>
        <v>2.8110514556307731</v>
      </c>
      <c r="G474" s="158">
        <f t="shared" si="1544"/>
        <v>2.9187492442258858</v>
      </c>
      <c r="H474" s="158">
        <f t="shared" si="1537"/>
        <v>3.1860995361270543</v>
      </c>
      <c r="I474" s="158">
        <f t="shared" ref="I474:J484" si="1545">+I313/I152</f>
        <v>3.3264406382895713</v>
      </c>
      <c r="J474" s="180">
        <f t="shared" si="1545"/>
        <v>3.4608945774422817</v>
      </c>
      <c r="K474" s="181">
        <f t="shared" ref="K474:K479" si="1546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547">+O313/O152</f>
        <v>3.3414272313098046</v>
      </c>
      <c r="P474" s="158">
        <f t="shared" si="1547"/>
        <v>3.5063194909069586</v>
      </c>
      <c r="Q474" s="158">
        <f t="shared" si="1547"/>
        <v>3.8396819235109163</v>
      </c>
      <c r="R474" s="158">
        <f t="shared" si="1547"/>
        <v>3.7304434877259922</v>
      </c>
      <c r="S474" s="158">
        <f t="shared" si="1547"/>
        <v>3.2949747434914509</v>
      </c>
      <c r="T474" s="158">
        <f t="shared" si="1547"/>
        <v>2.7634525966345689</v>
      </c>
      <c r="U474" s="158">
        <f t="shared" si="1547"/>
        <v>3.0866260337724283</v>
      </c>
      <c r="V474" s="158">
        <f t="shared" si="1547"/>
        <v>3.2937531756590555</v>
      </c>
      <c r="W474" s="180">
        <f t="shared" si="1547"/>
        <v>3.5345736326655621</v>
      </c>
      <c r="X474" s="181">
        <f t="shared" ref="X474:X476" si="1548">+X313/X152</f>
        <v>3.569627054799263</v>
      </c>
      <c r="Y474" s="147">
        <f t="shared" si="1542"/>
        <v>9.9172985985485074E-3</v>
      </c>
      <c r="Z474" s="127">
        <f t="shared" si="1543"/>
        <v>1.6141411698469055E-2</v>
      </c>
    </row>
    <row r="475" spans="1:26" x14ac:dyDescent="0.25">
      <c r="A475" s="133" t="s">
        <v>0</v>
      </c>
      <c r="B475" s="158">
        <f t="shared" ref="B475:G475" si="1549">+B314/B153</f>
        <v>3.3418130564100341</v>
      </c>
      <c r="C475" s="158">
        <f t="shared" si="1549"/>
        <v>3.8710098610990213</v>
      </c>
      <c r="D475" s="158">
        <f t="shared" si="1549"/>
        <v>3.9976500242874589</v>
      </c>
      <c r="E475" s="158">
        <f t="shared" si="1549"/>
        <v>3.5008802654905256</v>
      </c>
      <c r="F475" s="158">
        <f t="shared" si="1549"/>
        <v>3.1034724863236112</v>
      </c>
      <c r="G475" s="158">
        <f t="shared" si="1549"/>
        <v>2.9276743361636761</v>
      </c>
      <c r="H475" s="158">
        <f t="shared" si="1537"/>
        <v>3.1202328615133212</v>
      </c>
      <c r="I475" s="158">
        <f t="shared" si="1545"/>
        <v>3.434441101359921</v>
      </c>
      <c r="J475" s="180">
        <f t="shared" si="1545"/>
        <v>3.5859369229632909</v>
      </c>
      <c r="K475" s="181">
        <f t="shared" si="1546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550">+O314/O153</f>
        <v>3.3579147895088206</v>
      </c>
      <c r="P475" s="158">
        <f t="shared" si="1550"/>
        <v>3.5490770058991079</v>
      </c>
      <c r="Q475" s="158">
        <f t="shared" si="1550"/>
        <v>3.8495600261040628</v>
      </c>
      <c r="R475" s="158">
        <f t="shared" si="1550"/>
        <v>3.6914079869698391</v>
      </c>
      <c r="S475" s="158">
        <f t="shared" si="1550"/>
        <v>3.2646843817390989</v>
      </c>
      <c r="T475" s="158">
        <f t="shared" si="1550"/>
        <v>2.7562705419464359</v>
      </c>
      <c r="U475" s="158">
        <f t="shared" si="1550"/>
        <v>3.1037950290491501</v>
      </c>
      <c r="V475" s="158">
        <f t="shared" si="1547"/>
        <v>3.3221374073708496</v>
      </c>
      <c r="W475" s="180">
        <f t="shared" si="1547"/>
        <v>3.5486178660943586</v>
      </c>
      <c r="X475" s="181">
        <f t="shared" si="1548"/>
        <v>3.5714665679601212</v>
      </c>
      <c r="Y475" s="147">
        <f t="shared" si="1542"/>
        <v>6.4387608719644884E-3</v>
      </c>
      <c r="Z475" s="127">
        <f t="shared" si="1543"/>
        <v>1.81249433949775E-2</v>
      </c>
    </row>
    <row r="476" spans="1:26" x14ac:dyDescent="0.25">
      <c r="A476" s="133" t="s">
        <v>1</v>
      </c>
      <c r="B476" s="158">
        <f t="shared" ref="B476:H476" si="1551">+B315/B154</f>
        <v>3.5894914710447834</v>
      </c>
      <c r="C476" s="158">
        <f t="shared" si="1551"/>
        <v>3.792632301506881</v>
      </c>
      <c r="D476" s="158">
        <f t="shared" si="1551"/>
        <v>3.8669309874860613</v>
      </c>
      <c r="E476" s="158">
        <f t="shared" si="1551"/>
        <v>3.5235979203160945</v>
      </c>
      <c r="F476" s="158">
        <f t="shared" si="1551"/>
        <v>2.8748514908174805</v>
      </c>
      <c r="G476" s="158">
        <f t="shared" si="1551"/>
        <v>3.0414281681929021</v>
      </c>
      <c r="H476" s="158">
        <f t="shared" si="1551"/>
        <v>2.9695736487040123</v>
      </c>
      <c r="I476" s="158">
        <f t="shared" si="1545"/>
        <v>3.4303467714383329</v>
      </c>
      <c r="J476" s="180">
        <f t="shared" si="1545"/>
        <v>3.4000268486146701</v>
      </c>
      <c r="K476" s="181">
        <f t="shared" si="1546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552">+O315/O154</f>
        <v>3.3962471088372461</v>
      </c>
      <c r="P476" s="158">
        <f t="shared" si="1552"/>
        <v>3.5633743732326999</v>
      </c>
      <c r="Q476" s="158">
        <f t="shared" si="1552"/>
        <v>3.8554145273528104</v>
      </c>
      <c r="R476" s="158">
        <f t="shared" si="1552"/>
        <v>3.664141906803879</v>
      </c>
      <c r="S476" s="158">
        <f t="shared" si="1552"/>
        <v>3.2070325487853335</v>
      </c>
      <c r="T476" s="158">
        <f t="shared" si="1552"/>
        <v>2.7699915560300137</v>
      </c>
      <c r="U476" s="158">
        <f t="shared" si="1552"/>
        <v>3.097682900566789</v>
      </c>
      <c r="V476" s="158">
        <f t="shared" si="1547"/>
        <v>3.3660674577097307</v>
      </c>
      <c r="W476" s="180">
        <f t="shared" si="1547"/>
        <v>3.5436493843366614</v>
      </c>
      <c r="X476" s="181">
        <f t="shared" si="1548"/>
        <v>3.5865366321263585</v>
      </c>
      <c r="Y476" s="147">
        <f t="shared" si="1542"/>
        <v>1.2102565219703543E-2</v>
      </c>
      <c r="Z476" s="127">
        <f t="shared" si="1543"/>
        <v>2.262023175882355E-2</v>
      </c>
    </row>
    <row r="477" spans="1:26" x14ac:dyDescent="0.25">
      <c r="A477" s="133" t="s">
        <v>2</v>
      </c>
      <c r="B477" s="158">
        <f t="shared" ref="B477:H477" si="1553">+B316/B155</f>
        <v>3.5796584646445302</v>
      </c>
      <c r="C477" s="158">
        <f t="shared" si="1553"/>
        <v>3.9548708688851875</v>
      </c>
      <c r="D477" s="158">
        <f t="shared" si="1553"/>
        <v>4.0441763561055941</v>
      </c>
      <c r="E477" s="158">
        <f t="shared" si="1553"/>
        <v>3.6497138537954865</v>
      </c>
      <c r="F477" s="158">
        <f t="shared" si="1553"/>
        <v>2.5480760483944325</v>
      </c>
      <c r="G477" s="158">
        <f t="shared" si="1553"/>
        <v>2.9982562179596441</v>
      </c>
      <c r="H477" s="158">
        <f t="shared" si="1553"/>
        <v>3.5795720755895677</v>
      </c>
      <c r="I477" s="158">
        <f t="shared" si="1545"/>
        <v>3.507641171564539</v>
      </c>
      <c r="J477" s="180">
        <f t="shared" ref="J477" si="1554">+J316/J155</f>
        <v>3.6395290149051576</v>
      </c>
      <c r="K477" s="181">
        <f t="shared" si="1546"/>
        <v>3.6637894913265736</v>
      </c>
      <c r="L477" s="127">
        <f t="shared" ref="L477:L478" si="1555">+K477/J477-1</f>
        <v>6.6658285514584747E-3</v>
      </c>
      <c r="M477" s="2"/>
      <c r="N477" s="133" t="s">
        <v>2</v>
      </c>
      <c r="O477" s="158">
        <f t="shared" ref="O477:U477" si="1556">+O316/O155</f>
        <v>3.4222322713294311</v>
      </c>
      <c r="P477" s="158">
        <f t="shared" si="1556"/>
        <v>3.5919790726173324</v>
      </c>
      <c r="Q477" s="158">
        <f t="shared" si="1556"/>
        <v>3.8630222536794547</v>
      </c>
      <c r="R477" s="158">
        <f t="shared" si="1556"/>
        <v>3.633267162534997</v>
      </c>
      <c r="S477" s="158">
        <f t="shared" si="1556"/>
        <v>3.106391360010504</v>
      </c>
      <c r="T477" s="158">
        <f t="shared" si="1556"/>
        <v>2.8075599150902275</v>
      </c>
      <c r="U477" s="158">
        <f t="shared" si="1556"/>
        <v>3.1423403160278225</v>
      </c>
      <c r="V477" s="158">
        <f t="shared" si="1547"/>
        <v>3.3574493002219148</v>
      </c>
      <c r="W477" s="180">
        <f t="shared" ref="W477:X484" si="1557">+W316/W155</f>
        <v>3.5554254561328995</v>
      </c>
      <c r="X477" s="181">
        <f t="shared" si="1557"/>
        <v>3.5881017113233247</v>
      </c>
      <c r="Y477" s="147">
        <f t="shared" si="1542"/>
        <v>9.1905330581634193E-3</v>
      </c>
      <c r="Z477" s="127">
        <f t="shared" si="1543"/>
        <v>2.9251989544778922E-2</v>
      </c>
    </row>
    <row r="478" spans="1:26" x14ac:dyDescent="0.25">
      <c r="A478" s="133" t="s">
        <v>3</v>
      </c>
      <c r="B478" s="158">
        <f t="shared" ref="B478:H484" si="1558">+B317/B156</f>
        <v>3.523461302543065</v>
      </c>
      <c r="C478" s="158">
        <f t="shared" si="1558"/>
        <v>3.6259470289900442</v>
      </c>
      <c r="D478" s="158">
        <f t="shared" si="1558"/>
        <v>3.9428594935927759</v>
      </c>
      <c r="E478" s="158">
        <f t="shared" si="1558"/>
        <v>3.6968343102293999</v>
      </c>
      <c r="F478" s="158">
        <f t="shared" si="1558"/>
        <v>2.5830047158790181</v>
      </c>
      <c r="G478" s="158">
        <f t="shared" si="1558"/>
        <v>3.2357016907849858</v>
      </c>
      <c r="H478" s="158">
        <f t="shared" si="1558"/>
        <v>3.3540680560978071</v>
      </c>
      <c r="I478" s="158">
        <f t="shared" si="1545"/>
        <v>4.0247733596625084</v>
      </c>
      <c r="J478" s="180">
        <f t="shared" ref="J478:J484" si="1559">+J317/J156</f>
        <v>3.980129013123749</v>
      </c>
      <c r="K478" s="181">
        <f t="shared" si="1546"/>
        <v>3.6505439180077315</v>
      </c>
      <c r="L478" s="127">
        <f t="shared" si="1555"/>
        <v>-8.2807641166723678E-2</v>
      </c>
      <c r="M478" s="2"/>
      <c r="N478" s="133" t="s">
        <v>3</v>
      </c>
      <c r="O478" s="158">
        <f t="shared" ref="O478:U478" si="1560">+O317/O156</f>
        <v>3.4269102670434433</v>
      </c>
      <c r="P478" s="158">
        <f t="shared" si="1560"/>
        <v>3.6001133656089803</v>
      </c>
      <c r="Q478" s="158">
        <f t="shared" si="1560"/>
        <v>3.8911955171411194</v>
      </c>
      <c r="R478" s="158">
        <f t="shared" si="1560"/>
        <v>3.6158675799086764</v>
      </c>
      <c r="S478" s="158">
        <f t="shared" si="1560"/>
        <v>3.0217376014898187</v>
      </c>
      <c r="T478" s="158">
        <f t="shared" si="1560"/>
        <v>2.861715078703202</v>
      </c>
      <c r="U478" s="158">
        <f t="shared" si="1560"/>
        <v>3.1526246617823892</v>
      </c>
      <c r="V478" s="158">
        <f t="shared" si="1547"/>
        <v>3.4027638946309868</v>
      </c>
      <c r="W478" s="180">
        <f t="shared" si="1557"/>
        <v>3.545738999443111</v>
      </c>
      <c r="X478" s="181">
        <f t="shared" si="1557"/>
        <v>3.5691702953563929</v>
      </c>
      <c r="Y478" s="147">
        <f t="shared" si="1542"/>
        <v>6.6082968647613871E-3</v>
      </c>
      <c r="Z478" s="127">
        <f t="shared" si="1543"/>
        <v>3.3860884126737822E-2</v>
      </c>
    </row>
    <row r="479" spans="1:26" x14ac:dyDescent="0.25">
      <c r="A479" s="133" t="s">
        <v>4</v>
      </c>
      <c r="B479" s="158">
        <f t="shared" ref="B479:F479" si="1561">+B318/B157</f>
        <v>3.5341814829745917</v>
      </c>
      <c r="C479" s="158">
        <f t="shared" si="1561"/>
        <v>3.7790540871867799</v>
      </c>
      <c r="D479" s="158">
        <f t="shared" si="1561"/>
        <v>3.6712020713629938</v>
      </c>
      <c r="E479" s="158">
        <f t="shared" si="1561"/>
        <v>3.5201720298650838</v>
      </c>
      <c r="F479" s="158">
        <f t="shared" si="1561"/>
        <v>2.727207878415598</v>
      </c>
      <c r="G479" s="158">
        <f t="shared" si="1558"/>
        <v>3.2831927889883024</v>
      </c>
      <c r="H479" s="158">
        <f t="shared" ref="H479" si="1562">+H318/H157</f>
        <v>3.4548438492039724</v>
      </c>
      <c r="I479" s="158">
        <f t="shared" si="1545"/>
        <v>3.5650602164950547</v>
      </c>
      <c r="J479" s="180">
        <f t="shared" si="1559"/>
        <v>3.5927750737059809</v>
      </c>
      <c r="K479" s="181">
        <f t="shared" si="1546"/>
        <v>3.7328450778569544</v>
      </c>
      <c r="L479" s="127">
        <f t="shared" ref="L479" si="1563">+K479/J479-1</f>
        <v>3.8986577583463911E-2</v>
      </c>
      <c r="M479" s="2"/>
      <c r="N479" s="133" t="s">
        <v>4</v>
      </c>
      <c r="O479" s="158">
        <f t="shared" ref="O479:U479" si="1564">+O318/O157</f>
        <v>3.4184294088240574</v>
      </c>
      <c r="P479" s="158">
        <f t="shared" si="1564"/>
        <v>3.6191343929645554</v>
      </c>
      <c r="Q479" s="158">
        <f t="shared" si="1564"/>
        <v>3.8785250428113369</v>
      </c>
      <c r="R479" s="158">
        <f t="shared" si="1564"/>
        <v>3.6020791396179139</v>
      </c>
      <c r="S479" s="158">
        <f t="shared" si="1564"/>
        <v>2.9523343450476549</v>
      </c>
      <c r="T479" s="158">
        <f t="shared" si="1564"/>
        <v>2.9097354623450911</v>
      </c>
      <c r="U479" s="158">
        <f t="shared" si="1564"/>
        <v>3.1609713836944948</v>
      </c>
      <c r="V479" s="158">
        <f t="shared" si="1547"/>
        <v>3.4105331885136869</v>
      </c>
      <c r="W479" s="180">
        <f t="shared" si="1557"/>
        <v>3.5494080673010009</v>
      </c>
      <c r="X479" s="181">
        <f t="shared" si="1557"/>
        <v>3.5806688491962269</v>
      </c>
      <c r="Y479" s="147">
        <f t="shared" si="1542"/>
        <v>8.8073226021028184E-3</v>
      </c>
      <c r="Z479" s="127">
        <f t="shared" si="1543"/>
        <v>3.9344982593127575E-2</v>
      </c>
    </row>
    <row r="480" spans="1:26" x14ac:dyDescent="0.25">
      <c r="A480" s="133" t="s">
        <v>5</v>
      </c>
      <c r="B480" s="158">
        <f t="shared" ref="B480:F480" si="1565">+B319/B158</f>
        <v>3.4757646077295803</v>
      </c>
      <c r="C480" s="158">
        <f t="shared" si="1565"/>
        <v>3.7402052238805967</v>
      </c>
      <c r="D480" s="158">
        <f t="shared" si="1565"/>
        <v>3.9436002779204302</v>
      </c>
      <c r="E480" s="158">
        <f t="shared" si="1565"/>
        <v>3.4358701683003519</v>
      </c>
      <c r="F480" s="158">
        <f t="shared" si="1565"/>
        <v>2.6084723485997374</v>
      </c>
      <c r="G480" s="158">
        <f t="shared" si="1558"/>
        <v>3.1618233012803492</v>
      </c>
      <c r="H480" s="158">
        <f t="shared" ref="H480" si="1566">+H319/H158</f>
        <v>3.4106671549341065</v>
      </c>
      <c r="I480" s="158">
        <f t="shared" si="1545"/>
        <v>3.7497476816395343</v>
      </c>
      <c r="J480" s="180">
        <f t="shared" si="1559"/>
        <v>3.5563368711595968</v>
      </c>
      <c r="K480" s="181"/>
      <c r="L480" s="127"/>
      <c r="M480" s="2"/>
      <c r="N480" s="133" t="s">
        <v>5</v>
      </c>
      <c r="O480" s="158">
        <f t="shared" ref="O480:U480" si="1567">+O319/O158</f>
        <v>3.4240655058827376</v>
      </c>
      <c r="P480" s="158">
        <f t="shared" si="1567"/>
        <v>3.6483881629848831</v>
      </c>
      <c r="Q480" s="158">
        <f t="shared" si="1567"/>
        <v>3.9008583839555735</v>
      </c>
      <c r="R480" s="158">
        <f t="shared" si="1567"/>
        <v>3.5518797923531302</v>
      </c>
      <c r="S480" s="158">
        <f t="shared" si="1567"/>
        <v>2.8739096572242331</v>
      </c>
      <c r="T480" s="158">
        <f t="shared" si="1567"/>
        <v>2.9590723265895686</v>
      </c>
      <c r="U480" s="158">
        <f t="shared" si="1567"/>
        <v>3.1831115529632501</v>
      </c>
      <c r="V480" s="158">
        <f t="shared" si="1547"/>
        <v>3.4404147138220322</v>
      </c>
      <c r="W480" s="180">
        <f t="shared" si="1557"/>
        <v>3.5315108605031886</v>
      </c>
      <c r="X480" s="181"/>
      <c r="Y480" s="147"/>
      <c r="Z480" s="127"/>
    </row>
    <row r="481" spans="1:26" x14ac:dyDescent="0.25">
      <c r="A481" s="133" t="s">
        <v>6</v>
      </c>
      <c r="B481" s="158">
        <f t="shared" ref="B481:F481" si="1568">+B320/B159</f>
        <v>3.69212537928883</v>
      </c>
      <c r="C481" s="158">
        <f t="shared" si="1568"/>
        <v>3.8999787845474354</v>
      </c>
      <c r="D481" s="158">
        <f t="shared" si="1568"/>
        <v>3.7714666739242846</v>
      </c>
      <c r="E481" s="158">
        <f t="shared" si="1568"/>
        <v>3.4379294695192497</v>
      </c>
      <c r="F481" s="158">
        <f t="shared" si="1568"/>
        <v>2.7785895044443794</v>
      </c>
      <c r="G481" s="158">
        <f t="shared" si="1558"/>
        <v>3.3878521157814898</v>
      </c>
      <c r="H481" s="158">
        <f t="shared" ref="H481" si="1569">+H320/H159</f>
        <v>3.1763084492401195</v>
      </c>
      <c r="I481" s="158">
        <f t="shared" si="1545"/>
        <v>3.6027188914133355</v>
      </c>
      <c r="J481" s="180">
        <f t="shared" si="1559"/>
        <v>3.8605297239986309</v>
      </c>
      <c r="K481" s="181"/>
      <c r="L481" s="127"/>
      <c r="M481" s="2"/>
      <c r="N481" s="133" t="s">
        <v>6</v>
      </c>
      <c r="O481" s="158">
        <f t="shared" ref="O481:U481" si="1570">+O320/O159</f>
        <v>3.4324093026670712</v>
      </c>
      <c r="P481" s="158">
        <f t="shared" si="1570"/>
        <v>3.6637293465753702</v>
      </c>
      <c r="Q481" s="158">
        <f t="shared" si="1570"/>
        <v>3.8909111600390078</v>
      </c>
      <c r="R481" s="158">
        <f t="shared" si="1570"/>
        <v>3.5277565247370144</v>
      </c>
      <c r="S481" s="158">
        <f t="shared" si="1570"/>
        <v>2.8295376370034466</v>
      </c>
      <c r="T481" s="158">
        <f t="shared" si="1570"/>
        <v>3.011873417549773</v>
      </c>
      <c r="U481" s="158">
        <f t="shared" si="1570"/>
        <v>3.1639804260209567</v>
      </c>
      <c r="V481" s="158">
        <f t="shared" si="1547"/>
        <v>3.4845848806929869</v>
      </c>
      <c r="W481" s="180">
        <f t="shared" si="1557"/>
        <v>3.55238279480964</v>
      </c>
      <c r="X481" s="181"/>
      <c r="Y481" s="147"/>
      <c r="Z481" s="127"/>
    </row>
    <row r="482" spans="1:26" x14ac:dyDescent="0.25">
      <c r="A482" s="133" t="s">
        <v>7</v>
      </c>
      <c r="B482" s="158">
        <f t="shared" ref="B482:F482" si="1571">+B321/B160</f>
        <v>3.4573090257408485</v>
      </c>
      <c r="C482" s="158">
        <f t="shared" si="1571"/>
        <v>3.9031209686795818</v>
      </c>
      <c r="D482" s="158">
        <f t="shared" si="1571"/>
        <v>3.6205722250674492</v>
      </c>
      <c r="E482" s="158">
        <f t="shared" si="1571"/>
        <v>3.1818701254178214</v>
      </c>
      <c r="F482" s="158">
        <f t="shared" si="1571"/>
        <v>2.6839070002927006</v>
      </c>
      <c r="G482" s="158">
        <f t="shared" si="1558"/>
        <v>3.0769300091470693</v>
      </c>
      <c r="H482" s="158">
        <f t="shared" ref="H482:H484" si="1572">+H321/H160</f>
        <v>3.3507738773585434</v>
      </c>
      <c r="I482" s="158">
        <f t="shared" si="1545"/>
        <v>3.5724699189415094</v>
      </c>
      <c r="J482" s="180">
        <f t="shared" si="1559"/>
        <v>3.5080555782400227</v>
      </c>
      <c r="K482" s="181"/>
      <c r="L482" s="127"/>
      <c r="M482" s="2"/>
      <c r="N482" s="133" t="s">
        <v>7</v>
      </c>
      <c r="O482" s="158">
        <f t="shared" ref="O482:U482" si="1573">+O321/O160</f>
        <v>3.4263727664937695</v>
      </c>
      <c r="P482" s="158">
        <f t="shared" si="1573"/>
        <v>3.7056319778554672</v>
      </c>
      <c r="Q482" s="158">
        <f t="shared" si="1573"/>
        <v>3.8629022742111845</v>
      </c>
      <c r="R482" s="158">
        <f t="shared" si="1573"/>
        <v>3.4847414281382489</v>
      </c>
      <c r="S482" s="158">
        <f t="shared" si="1573"/>
        <v>2.7859366190172854</v>
      </c>
      <c r="T482" s="158">
        <f t="shared" si="1573"/>
        <v>3.0489968666501679</v>
      </c>
      <c r="U482" s="158">
        <f t="shared" si="1573"/>
        <v>3.1853706787228728</v>
      </c>
      <c r="V482" s="158">
        <f t="shared" si="1547"/>
        <v>3.5049717167345245</v>
      </c>
      <c r="W482" s="180">
        <f t="shared" si="1557"/>
        <v>3.54650773307679</v>
      </c>
      <c r="X482" s="181"/>
      <c r="Y482" s="147"/>
      <c r="Z482" s="127"/>
    </row>
    <row r="483" spans="1:26" x14ac:dyDescent="0.25">
      <c r="A483" s="133" t="s">
        <v>8</v>
      </c>
      <c r="B483" s="158">
        <f t="shared" ref="B483:F483" si="1574">+B322/B161</f>
        <v>3.7229398549984687</v>
      </c>
      <c r="C483" s="158">
        <f t="shared" si="1574"/>
        <v>3.9135745411329723</v>
      </c>
      <c r="D483" s="158">
        <f t="shared" si="1574"/>
        <v>3.7501527930570839</v>
      </c>
      <c r="E483" s="158">
        <f t="shared" si="1574"/>
        <v>3.2570846825912656</v>
      </c>
      <c r="F483" s="158">
        <f t="shared" si="1574"/>
        <v>2.8228651427564819</v>
      </c>
      <c r="G483" s="158">
        <f t="shared" si="1558"/>
        <v>3.051982988317278</v>
      </c>
      <c r="H483" s="158">
        <f t="shared" si="1572"/>
        <v>3.0446688654035965</v>
      </c>
      <c r="I483" s="158">
        <f t="shared" si="1545"/>
        <v>3.3936800291493112</v>
      </c>
      <c r="J483" s="180">
        <f t="shared" si="1559"/>
        <v>3.440159309658148</v>
      </c>
      <c r="K483" s="181"/>
      <c r="L483" s="127"/>
      <c r="M483" s="2"/>
      <c r="N483" s="133" t="s">
        <v>8</v>
      </c>
      <c r="O483" s="158">
        <f t="shared" ref="O483:U483" si="1575">+O322/O161</f>
        <v>3.4534472340288134</v>
      </c>
      <c r="P483" s="158">
        <f t="shared" si="1575"/>
        <v>3.7200302742440314</v>
      </c>
      <c r="Q483" s="158">
        <f t="shared" si="1575"/>
        <v>3.8492893341497409</v>
      </c>
      <c r="R483" s="158">
        <f t="shared" si="1575"/>
        <v>3.4453582959502969</v>
      </c>
      <c r="S483" s="158">
        <f t="shared" si="1575"/>
        <v>2.7573123398674699</v>
      </c>
      <c r="T483" s="158">
        <f t="shared" si="1575"/>
        <v>3.0677327646400405</v>
      </c>
      <c r="U483" s="158">
        <f t="shared" si="1575"/>
        <v>3.1886584095671924</v>
      </c>
      <c r="V483" s="158">
        <f t="shared" si="1547"/>
        <v>3.5386525391391865</v>
      </c>
      <c r="W483" s="180">
        <f t="shared" si="1557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576">+B323/B162</f>
        <v>3.3809875418283508</v>
      </c>
      <c r="C484" s="158">
        <f t="shared" si="1576"/>
        <v>3.9661902871509858</v>
      </c>
      <c r="D484" s="158">
        <f t="shared" si="1576"/>
        <v>3.4420710607500205</v>
      </c>
      <c r="E484" s="158">
        <f t="shared" si="1576"/>
        <v>2.935253788342171</v>
      </c>
      <c r="F484" s="158">
        <f t="shared" si="1576"/>
        <v>2.8250248302015506</v>
      </c>
      <c r="G484" s="158">
        <f t="shared" si="1558"/>
        <v>2.7599908208536608</v>
      </c>
      <c r="H484" s="158">
        <f t="shared" si="1572"/>
        <v>3.4282478356294108</v>
      </c>
      <c r="I484" s="158">
        <f t="shared" si="1545"/>
        <v>3.3765072214124823</v>
      </c>
      <c r="J484" s="180">
        <f t="shared" si="1559"/>
        <v>3.3884634403859772</v>
      </c>
      <c r="K484" s="181"/>
      <c r="L484" s="127"/>
      <c r="M484" s="2"/>
      <c r="N484" s="133" t="s">
        <v>9</v>
      </c>
      <c r="O484" s="158">
        <f t="shared" ref="O484:U484" si="1577">+O323/O162</f>
        <v>3.4650372966189278</v>
      </c>
      <c r="P484" s="158">
        <f t="shared" si="1577"/>
        <v>3.7720646781405032</v>
      </c>
      <c r="Q484" s="158">
        <f t="shared" si="1577"/>
        <v>3.8043539384534264</v>
      </c>
      <c r="R484" s="158">
        <f t="shared" si="1577"/>
        <v>3.4004942607592539</v>
      </c>
      <c r="S484" s="158">
        <f t="shared" si="1577"/>
        <v>2.7496213508045093</v>
      </c>
      <c r="T484" s="158">
        <f t="shared" si="1577"/>
        <v>3.0587551879620598</v>
      </c>
      <c r="U484" s="158">
        <f t="shared" si="1577"/>
        <v>3.2484929497952746</v>
      </c>
      <c r="V484" s="158">
        <f t="shared" si="1547"/>
        <v>3.5346479573188145</v>
      </c>
      <c r="W484" s="180">
        <f t="shared" si="1557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578">+B324/B163</f>
        <v>3.4650372966189278</v>
      </c>
      <c r="C485" s="182">
        <f t="shared" si="1578"/>
        <v>3.7720646781405032</v>
      </c>
      <c r="D485" s="182">
        <f t="shared" si="1578"/>
        <v>3.8043539384534264</v>
      </c>
      <c r="E485" s="182">
        <f t="shared" si="1578"/>
        <v>3.4004942607592539</v>
      </c>
      <c r="F485" s="182">
        <f t="shared" si="1578"/>
        <v>2.7496213508045093</v>
      </c>
      <c r="G485" s="182">
        <f t="shared" ref="G485:H485" si="1579">+G324/G163</f>
        <v>3.0587551879620598</v>
      </c>
      <c r="H485" s="182">
        <f t="shared" si="1579"/>
        <v>3.2484929497952746</v>
      </c>
      <c r="I485" s="182">
        <f t="shared" ref="I485:J485" si="1580">+I324/I163</f>
        <v>3.5346479573188145</v>
      </c>
      <c r="J485" s="183">
        <f t="shared" si="1580"/>
        <v>3.5505387798582375</v>
      </c>
      <c r="K485" s="183"/>
      <c r="L485" s="137"/>
      <c r="M485" s="3"/>
      <c r="N485" s="134" t="s">
        <v>14</v>
      </c>
      <c r="O485" s="182">
        <f t="shared" ref="O485:W485" si="1581">+O324/O163</f>
        <v>3.40921621031426</v>
      </c>
      <c r="P485" s="182">
        <f t="shared" si="1581"/>
        <v>3.6158350580822627</v>
      </c>
      <c r="Q485" s="182">
        <f t="shared" si="1581"/>
        <v>3.8591138580692657</v>
      </c>
      <c r="R485" s="182">
        <f t="shared" si="1581"/>
        <v>3.5899083667454974</v>
      </c>
      <c r="S485" s="182">
        <f t="shared" si="1581"/>
        <v>3.0019460841773586</v>
      </c>
      <c r="T485" s="182">
        <f t="shared" si="1581"/>
        <v>2.8975580947428865</v>
      </c>
      <c r="U485" s="182">
        <f t="shared" si="1581"/>
        <v>3.1465473334896505</v>
      </c>
      <c r="V485" s="182">
        <f t="shared" si="1581"/>
        <v>3.4046302950402962</v>
      </c>
      <c r="W485" s="183">
        <f t="shared" si="1581"/>
        <v>3.5444065855282068</v>
      </c>
      <c r="X485" s="184">
        <f t="shared" ref="X485" si="1582">+X324/X163</f>
        <v>3.5752394463683865</v>
      </c>
      <c r="Y485" s="149">
        <f>+X485/W485-1</f>
        <v>8.6990191718043786E-3</v>
      </c>
      <c r="Z485" s="156">
        <f>+POWER(X485/S485,0.2)-1</f>
        <v>3.5572356963418095E-2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583">+D485/C485-1</f>
        <v>8.560102508327283E-3</v>
      </c>
      <c r="E486" s="142">
        <f t="shared" ref="E486" si="1584">+E485/D485-1</f>
        <v>-0.10615723043328418</v>
      </c>
      <c r="F486" s="142">
        <f t="shared" ref="F486:J486" si="1585">+F485/E485-1</f>
        <v>-0.19140538405420493</v>
      </c>
      <c r="G486" s="142">
        <f t="shared" si="1585"/>
        <v>0.1124277846719155</v>
      </c>
      <c r="H486" s="142">
        <f t="shared" si="1585"/>
        <v>6.2031038829109431E-2</v>
      </c>
      <c r="I486" s="142">
        <f t="shared" si="1585"/>
        <v>8.8088541962688893E-2</v>
      </c>
      <c r="J486" s="143">
        <f t="shared" si="1585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586">+Q485/P485-1</f>
        <v>6.7281498209719626E-2</v>
      </c>
      <c r="R486" s="142">
        <f t="shared" ref="R486" si="1587">+R485/Q485-1</f>
        <v>-6.9758369725440805E-2</v>
      </c>
      <c r="S486" s="142">
        <f t="shared" ref="S486" si="1588">+S485/R485-1</f>
        <v>-0.16378197505391134</v>
      </c>
      <c r="T486" s="142">
        <f t="shared" ref="T486:X486" si="1589">+T485/S485-1</f>
        <v>-3.4773439131595252E-2</v>
      </c>
      <c r="U486" s="142">
        <f t="shared" si="1589"/>
        <v>8.5930714969446598E-2</v>
      </c>
      <c r="V486" s="142">
        <f t="shared" si="1589"/>
        <v>8.2021000861417503E-2</v>
      </c>
      <c r="W486" s="143">
        <f t="shared" si="1589"/>
        <v>4.1054763182813092E-2</v>
      </c>
      <c r="X486" s="155">
        <f t="shared" si="1589"/>
        <v>8.6990191718043786E-3</v>
      </c>
      <c r="Y486" s="144"/>
      <c r="Z486" s="145"/>
    </row>
  </sheetData>
  <mergeCells count="57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345:L345"/>
    <mergeCell ref="N345:Z345"/>
    <mergeCell ref="A363:L363"/>
    <mergeCell ref="N363:Z363"/>
    <mergeCell ref="A381:L381"/>
    <mergeCell ref="N381:Z381"/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X532" sqref="X532:Z532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193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101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102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103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/>
      <c r="L13" s="7"/>
      <c r="M13" s="2"/>
      <c r="N13" s="42" t="s">
        <v>4</v>
      </c>
      <c r="O13" s="6">
        <f>+SUM('[1]EXP TOTAL VINO PAIS'!Z166:Z177)/1000000</f>
        <v>75.303950999999998</v>
      </c>
      <c r="P13" s="6">
        <f t="shared" ref="P13:W13" si="14">+SUM(C7:C13)+SUM(B14:B18)</f>
        <v>70.171478000000008</v>
      </c>
      <c r="Q13" s="6">
        <f t="shared" si="14"/>
        <v>58.197503999999995</v>
      </c>
      <c r="R13" s="6">
        <f t="shared" si="14"/>
        <v>67.401724000000002</v>
      </c>
      <c r="S13" s="6">
        <f t="shared" si="14"/>
        <v>61.603163000000002</v>
      </c>
      <c r="T13" s="6">
        <f t="shared" si="14"/>
        <v>66.703478999999987</v>
      </c>
      <c r="U13" s="6">
        <f t="shared" si="14"/>
        <v>70.040798999999993</v>
      </c>
      <c r="V13" s="6">
        <f t="shared" si="14"/>
        <v>47.029335000000003</v>
      </c>
      <c r="W13" s="67">
        <f t="shared" si="14"/>
        <v>44.751052999999999</v>
      </c>
      <c r="X13" s="67"/>
      <c r="Y13" s="78"/>
      <c r="Z13" s="7"/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/>
      <c r="L14" s="7"/>
      <c r="M14" s="2"/>
      <c r="N14" s="42" t="s">
        <v>5</v>
      </c>
      <c r="O14" s="6">
        <f>+SUM('[1]EXP TOTAL VINO PAIS'!Z167:Z178)/1000000</f>
        <v>77.612979999999993</v>
      </c>
      <c r="P14" s="6">
        <f t="shared" ref="P14:W14" si="15">+SUM(C7:C14)+SUM(B15:B18)</f>
        <v>69.109037000000001</v>
      </c>
      <c r="Q14" s="6">
        <f t="shared" si="15"/>
        <v>57.391973</v>
      </c>
      <c r="R14" s="6">
        <f t="shared" si="15"/>
        <v>67.048567999999989</v>
      </c>
      <c r="S14" s="6">
        <f t="shared" si="15"/>
        <v>64.080940999999996</v>
      </c>
      <c r="T14" s="6">
        <f t="shared" si="15"/>
        <v>63.678511999999998</v>
      </c>
      <c r="U14" s="6">
        <f t="shared" si="15"/>
        <v>72.388483999999991</v>
      </c>
      <c r="V14" s="6">
        <f t="shared" si="15"/>
        <v>44.036590000000004</v>
      </c>
      <c r="W14" s="67">
        <f t="shared" si="15"/>
        <v>45.610988000000006</v>
      </c>
      <c r="X14" s="67"/>
      <c r="Y14" s="78"/>
      <c r="Z14" s="7"/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/>
      <c r="L15" s="7"/>
      <c r="M15" s="2"/>
      <c r="N15" s="42" t="s">
        <v>6</v>
      </c>
      <c r="O15" s="6">
        <f>+SUM('[1]EXP TOTAL VINO PAIS'!Z168:Z179)/1000000</f>
        <v>77.114992000000001</v>
      </c>
      <c r="P15" s="6">
        <f t="shared" ref="P15:W15" si="16">+SUM(C7:C15)+SUM(B16:B18)</f>
        <v>67.580609999999993</v>
      </c>
      <c r="Q15" s="6">
        <f t="shared" si="16"/>
        <v>57.407274999999998</v>
      </c>
      <c r="R15" s="6">
        <f t="shared" si="16"/>
        <v>66.822296999999992</v>
      </c>
      <c r="S15" s="6">
        <f t="shared" si="16"/>
        <v>63.404003000000003</v>
      </c>
      <c r="T15" s="6">
        <f t="shared" si="16"/>
        <v>65.943027999999998</v>
      </c>
      <c r="U15" s="6">
        <f t="shared" si="16"/>
        <v>71.355786999999992</v>
      </c>
      <c r="V15" s="6">
        <f t="shared" si="16"/>
        <v>42.983122000000002</v>
      </c>
      <c r="W15" s="67">
        <f t="shared" si="16"/>
        <v>45.438462000000001</v>
      </c>
      <c r="X15" s="67"/>
      <c r="Y15" s="78"/>
      <c r="Z15" s="7"/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/>
      <c r="L16" s="7"/>
      <c r="M16" s="2"/>
      <c r="N16" s="42" t="s">
        <v>7</v>
      </c>
      <c r="O16" s="6">
        <f>+SUM('[1]EXP TOTAL VINO PAIS'!Z169:Z180)/1000000</f>
        <v>76.546565000000001</v>
      </c>
      <c r="P16" s="6">
        <f t="shared" ref="P16:W16" si="17">+SUM(C7:C16)+SUM(B17:B18)</f>
        <v>66.406599999999997</v>
      </c>
      <c r="Q16" s="6">
        <f t="shared" si="17"/>
        <v>56.866819</v>
      </c>
      <c r="R16" s="6">
        <f t="shared" si="17"/>
        <v>65.632803999999993</v>
      </c>
      <c r="S16" s="6">
        <f t="shared" si="17"/>
        <v>65.490884000000008</v>
      </c>
      <c r="T16" s="6">
        <f t="shared" si="17"/>
        <v>65.901978999999997</v>
      </c>
      <c r="U16" s="6">
        <f t="shared" si="17"/>
        <v>70.502616999999987</v>
      </c>
      <c r="V16" s="6">
        <f t="shared" si="17"/>
        <v>42.666900000000005</v>
      </c>
      <c r="W16" s="67">
        <f t="shared" si="17"/>
        <v>43.985959000000001</v>
      </c>
      <c r="X16" s="67"/>
      <c r="Y16" s="78"/>
      <c r="Z16" s="7"/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18">+SUM(C7:C17)+SUM(B18)</f>
        <v>65.053280999999998</v>
      </c>
      <c r="Q17" s="6">
        <f t="shared" si="18"/>
        <v>59.276530999999999</v>
      </c>
      <c r="R17" s="6">
        <f t="shared" si="18"/>
        <v>64.971833999999987</v>
      </c>
      <c r="S17" s="6">
        <f t="shared" si="18"/>
        <v>65.549710000000005</v>
      </c>
      <c r="T17" s="6">
        <f t="shared" si="18"/>
        <v>65.358243999999999</v>
      </c>
      <c r="U17" s="6">
        <f t="shared" si="18"/>
        <v>68.548518999999999</v>
      </c>
      <c r="V17" s="6">
        <f t="shared" si="18"/>
        <v>42.886796000000004</v>
      </c>
      <c r="W17" s="67">
        <f t="shared" si="18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19">+SUM(C7:C18)</f>
        <v>62.440691999999999</v>
      </c>
      <c r="Q18" s="6">
        <f t="shared" si="19"/>
        <v>61.264043999999998</v>
      </c>
      <c r="R18" s="6">
        <f t="shared" si="19"/>
        <v>66.387584999999987</v>
      </c>
      <c r="S18" s="6">
        <f t="shared" si="19"/>
        <v>60.93457200000001</v>
      </c>
      <c r="T18" s="6">
        <f t="shared" si="19"/>
        <v>67.410032999999999</v>
      </c>
      <c r="U18" s="6">
        <f t="shared" si="19"/>
        <v>66.293323999999998</v>
      </c>
      <c r="V18" s="6">
        <f t="shared" si="19"/>
        <v>42.524523000000002</v>
      </c>
      <c r="W18" s="67">
        <f t="shared" ref="W18" si="20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21">SUM(C7:C18)</f>
        <v>62.440691999999999</v>
      </c>
      <c r="D19" s="159">
        <f t="shared" si="21"/>
        <v>61.264043999999998</v>
      </c>
      <c r="E19" s="159">
        <f t="shared" si="21"/>
        <v>66.387584999999987</v>
      </c>
      <c r="F19" s="159">
        <f t="shared" si="21"/>
        <v>60.93457200000001</v>
      </c>
      <c r="G19" s="159">
        <f t="shared" ref="G19" si="22">SUM(G7:G18)</f>
        <v>67.410032999999999</v>
      </c>
      <c r="H19" s="159">
        <f t="shared" ref="H19:I19" si="23">SUM(H7:H18)</f>
        <v>66.293323999999998</v>
      </c>
      <c r="I19" s="159">
        <f t="shared" si="23"/>
        <v>42.524523000000002</v>
      </c>
      <c r="J19" s="216">
        <f t="shared" ref="J19" si="24">SUM(J7:J18)</f>
        <v>45.743361000000007</v>
      </c>
      <c r="K19" s="216"/>
      <c r="L19" s="56"/>
      <c r="M19" s="3"/>
      <c r="N19" s="43" t="s">
        <v>14</v>
      </c>
      <c r="O19" s="46">
        <f t="shared" ref="O19" si="25">+AVERAGE(O7:O18)</f>
        <v>80.591327833333324</v>
      </c>
      <c r="P19" s="46">
        <f>+AVERAGE(P7:P18)</f>
        <v>69.101660333333328</v>
      </c>
      <c r="Q19" s="46">
        <f t="shared" ref="Q19:U19" si="26">+AVERAGE(Q7:Q18)</f>
        <v>58.782005083333331</v>
      </c>
      <c r="R19" s="46">
        <f t="shared" si="26"/>
        <v>66.414060499999977</v>
      </c>
      <c r="S19" s="46">
        <f t="shared" si="26"/>
        <v>62.112787916666669</v>
      </c>
      <c r="T19" s="46">
        <f t="shared" si="26"/>
        <v>64.277063166666665</v>
      </c>
      <c r="U19" s="46">
        <f t="shared" si="26"/>
        <v>70.791366249999996</v>
      </c>
      <c r="V19" s="46">
        <f t="shared" ref="V19:W19" si="27">+AVERAGE(V7:V18)</f>
        <v>50.325656083333342</v>
      </c>
      <c r="W19" s="68">
        <f t="shared" si="27"/>
        <v>43.829329250000001</v>
      </c>
      <c r="X19" s="47">
        <f t="shared" ref="X19" si="28">+AVERAGE(X7:X18)</f>
        <v>45.388046000000003</v>
      </c>
      <c r="Y19" s="79">
        <f>+X19/W19-1</f>
        <v>3.5563326582279453E-2</v>
      </c>
      <c r="Z19" s="75">
        <f>+POWER(X19/S19,0.2)-1</f>
        <v>-6.0812956432044318E-2</v>
      </c>
    </row>
    <row r="20" spans="1:26" ht="25.5" x14ac:dyDescent="0.25">
      <c r="A20" s="57" t="s">
        <v>15</v>
      </c>
      <c r="B20" s="58">
        <f t="shared" ref="B20:G20" si="29">+B19/B$181</f>
        <v>0.2926885306263054</v>
      </c>
      <c r="C20" s="58">
        <f t="shared" si="29"/>
        <v>0.27820795941922954</v>
      </c>
      <c r="D20" s="58">
        <f t="shared" si="29"/>
        <v>0.22332650281005187</v>
      </c>
      <c r="E20" s="58">
        <f t="shared" si="29"/>
        <v>0.21776368685292916</v>
      </c>
      <c r="F20" s="58">
        <f t="shared" si="29"/>
        <v>0.15589792272151062</v>
      </c>
      <c r="G20" s="58">
        <f t="shared" si="29"/>
        <v>0.23332077280647825</v>
      </c>
      <c r="H20" s="58">
        <f t="shared" ref="H20" si="30">+H19/H$181</f>
        <v>0.26862340366471232</v>
      </c>
      <c r="I20" s="58">
        <f t="shared" ref="I20:J20" si="31">+I19/I$360</f>
        <v>6.5201960450600047E-2</v>
      </c>
      <c r="J20" s="189">
        <f t="shared" si="31"/>
        <v>6.7149667872844862E-2</v>
      </c>
      <c r="K20" s="234"/>
      <c r="L20" s="59"/>
      <c r="M20" s="3"/>
      <c r="N20" s="44" t="s">
        <v>15</v>
      </c>
      <c r="O20" s="48">
        <f t="shared" ref="O20:T20" si="32">+O19/O$181</f>
        <v>0.31124935999061154</v>
      </c>
      <c r="P20" s="48">
        <f t="shared" si="32"/>
        <v>0.28725889596388066</v>
      </c>
      <c r="Q20" s="48">
        <f t="shared" si="32"/>
        <v>0.24944453380973411</v>
      </c>
      <c r="R20" s="48">
        <f t="shared" si="32"/>
        <v>0.22416411908750783</v>
      </c>
      <c r="S20" s="48">
        <f t="shared" si="32"/>
        <v>0.16674580879506717</v>
      </c>
      <c r="T20" s="48">
        <f t="shared" si="32"/>
        <v>0.19820254389597095</v>
      </c>
      <c r="U20" s="48">
        <f t="shared" ref="U20:V20" si="33">+U19/U$181</f>
        <v>0.26158645748371201</v>
      </c>
      <c r="V20" s="48">
        <f t="shared" si="33"/>
        <v>0.2398247377628914</v>
      </c>
      <c r="W20" s="69">
        <f t="shared" ref="W20:X20" si="34">+W19/W$181</f>
        <v>0.23504312110487605</v>
      </c>
      <c r="X20" s="72">
        <f t="shared" si="34"/>
        <v>0.23272366579409712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35">+D19/C19-1</f>
        <v>-1.8844249836308724E-2</v>
      </c>
      <c r="E21" s="62">
        <f t="shared" si="35"/>
        <v>8.3630473365421176E-2</v>
      </c>
      <c r="F21" s="62">
        <f t="shared" si="35"/>
        <v>-8.213904753426382E-2</v>
      </c>
      <c r="G21" s="62">
        <f t="shared" si="35"/>
        <v>0.10626908153223735</v>
      </c>
      <c r="H21" s="62">
        <f t="shared" si="35"/>
        <v>-1.6565916827247396E-2</v>
      </c>
      <c r="I21" s="62">
        <f t="shared" si="35"/>
        <v>-0.35853988857158525</v>
      </c>
      <c r="J21" s="190">
        <f t="shared" si="35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36">+Q19/P19-1</f>
        <v>-0.14934019240955909</v>
      </c>
      <c r="R21" s="50">
        <f t="shared" si="36"/>
        <v>0.12983659549971005</v>
      </c>
      <c r="S21" s="50">
        <f t="shared" si="36"/>
        <v>-6.4764487383410452E-2</v>
      </c>
      <c r="T21" s="50">
        <f t="shared" si="36"/>
        <v>3.4844278007673424E-2</v>
      </c>
      <c r="U21" s="50">
        <f t="shared" si="36"/>
        <v>0.10134724211717838</v>
      </c>
      <c r="V21" s="50">
        <f t="shared" si="36"/>
        <v>-0.28909895727103097</v>
      </c>
      <c r="W21" s="70">
        <f t="shared" si="36"/>
        <v>-0.1290857852419488</v>
      </c>
      <c r="X21" s="73">
        <f t="shared" si="36"/>
        <v>3.5563326582279453E-2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104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105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f t="shared" si="37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38">+P24+1</f>
        <v>2018</v>
      </c>
      <c r="R24" s="64">
        <f t="shared" ref="R24" si="39">+Q24+1</f>
        <v>2019</v>
      </c>
      <c r="S24" s="64">
        <f t="shared" ref="S24" si="40">+R24+1</f>
        <v>2020</v>
      </c>
      <c r="T24" s="64">
        <f t="shared" ref="T24" si="41">+S24+1</f>
        <v>2021</v>
      </c>
      <c r="U24" s="64">
        <f t="shared" ref="U24" si="42">+T24+1</f>
        <v>2022</v>
      </c>
      <c r="V24" s="64">
        <f t="shared" ref="V24" si="43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44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45">+SUM(C25)+SUM(B26:B36)</f>
        <v>31.922093000000004</v>
      </c>
      <c r="Q25" s="6">
        <f t="shared" si="45"/>
        <v>33.168529999999997</v>
      </c>
      <c r="R25" s="6">
        <f t="shared" si="45"/>
        <v>36.383245000000002</v>
      </c>
      <c r="S25" s="6">
        <f t="shared" si="45"/>
        <v>42.990412000000006</v>
      </c>
      <c r="T25" s="6">
        <f t="shared" si="45"/>
        <v>56.877958</v>
      </c>
      <c r="U25" s="6">
        <f t="shared" si="45"/>
        <v>58.509549</v>
      </c>
      <c r="V25" s="6">
        <f t="shared" si="45"/>
        <v>51.601760999999996</v>
      </c>
      <c r="W25" s="67">
        <f t="shared" si="45"/>
        <v>48.441680000000005</v>
      </c>
      <c r="X25" s="37">
        <f t="shared" si="45"/>
        <v>50.983899999999998</v>
      </c>
      <c r="Y25" s="78">
        <f t="shared" ref="Y25:Y30" si="46">+X25/W25-1</f>
        <v>5.2480013079645227E-2</v>
      </c>
      <c r="Z25" s="7">
        <f t="shared" ref="Z25:Z30" si="47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44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48">+SUM(C25:C26)+SUM(B27:B36)</f>
        <v>31.711840000000002</v>
      </c>
      <c r="Q26" s="6">
        <f t="shared" si="48"/>
        <v>33.048720000000003</v>
      </c>
      <c r="R26" s="6">
        <f t="shared" si="48"/>
        <v>37.249508000000006</v>
      </c>
      <c r="S26" s="6">
        <f t="shared" si="48"/>
        <v>43.176232999999996</v>
      </c>
      <c r="T26" s="6">
        <f t="shared" si="48"/>
        <v>58.156072999999992</v>
      </c>
      <c r="U26" s="6">
        <f t="shared" si="48"/>
        <v>58.997306000000002</v>
      </c>
      <c r="V26" s="6">
        <f t="shared" si="48"/>
        <v>50.080207000000001</v>
      </c>
      <c r="W26" s="67">
        <f t="shared" ref="W26" si="49">+SUM(J25:J26)+SUM(I27:I36)</f>
        <v>49.097040000000007</v>
      </c>
      <c r="X26" s="67">
        <f t="shared" ref="X26" si="50">+SUM(K25:K26)+SUM(J27:J36)</f>
        <v>50.618195999999998</v>
      </c>
      <c r="Y26" s="78">
        <f t="shared" si="46"/>
        <v>3.0982641723411142E-2</v>
      </c>
      <c r="Z26" s="7">
        <f t="shared" si="47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44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51">+SUM(C25:C27)+SUM(B28:B36)</f>
        <v>31.688685000000007</v>
      </c>
      <c r="Q27" s="6">
        <f t="shared" si="51"/>
        <v>33.612690999999998</v>
      </c>
      <c r="R27" s="6">
        <f t="shared" si="51"/>
        <v>37.636498000000003</v>
      </c>
      <c r="S27" s="6">
        <f t="shared" si="51"/>
        <v>43.767225999999994</v>
      </c>
      <c r="T27" s="6">
        <f t="shared" si="51"/>
        <v>59.061229000000004</v>
      </c>
      <c r="U27" s="6">
        <f t="shared" si="51"/>
        <v>59.963940000000001</v>
      </c>
      <c r="V27" s="6">
        <f t="shared" si="51"/>
        <v>49.081495000000004</v>
      </c>
      <c r="W27" s="67">
        <f t="shared" si="51"/>
        <v>48.384148999999994</v>
      </c>
      <c r="X27" s="67">
        <f t="shared" ref="X27" si="52">+SUM(K25:K27)+SUM(J28:J36)</f>
        <v>50.284591999999996</v>
      </c>
      <c r="Y27" s="78">
        <f t="shared" si="46"/>
        <v>3.9278214855034577E-2</v>
      </c>
      <c r="Z27" s="7">
        <f t="shared" si="47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44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53">+SUM(C25:C28)+SUM(B29:B36)</f>
        <v>32.605767999999998</v>
      </c>
      <c r="Q28" s="6">
        <f t="shared" si="53"/>
        <v>33.803713999999999</v>
      </c>
      <c r="R28" s="6">
        <f t="shared" si="53"/>
        <v>37.656609000000003</v>
      </c>
      <c r="S28" s="6">
        <f t="shared" si="53"/>
        <v>43.937522999999999</v>
      </c>
      <c r="T28" s="6">
        <f t="shared" si="53"/>
        <v>60.658337000000003</v>
      </c>
      <c r="U28" s="6">
        <f t="shared" si="53"/>
        <v>58.331244999999996</v>
      </c>
      <c r="V28" s="6">
        <f t="shared" si="53"/>
        <v>50.226636999999997</v>
      </c>
      <c r="W28" s="67">
        <f t="shared" ref="W28" si="54">+SUM(J25:J28)+SUM(I29:I36)</f>
        <v>47.895824999999995</v>
      </c>
      <c r="X28" s="37">
        <f t="shared" ref="X28" si="55">+SUM(K25:K28)+SUM(J29:J36)</f>
        <v>49.607757999999997</v>
      </c>
      <c r="Y28" s="78">
        <f t="shared" si="46"/>
        <v>3.5742843974396532E-2</v>
      </c>
      <c r="Z28" s="7">
        <f t="shared" si="47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44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56">+SUM(C25:C29)+SUM(B30:B36)</f>
        <v>32.914759000000004</v>
      </c>
      <c r="Q29" s="6">
        <f t="shared" si="56"/>
        <v>33.670751000000003</v>
      </c>
      <c r="R29" s="6">
        <f t="shared" si="56"/>
        <v>38.828414000000002</v>
      </c>
      <c r="S29" s="6">
        <f t="shared" si="56"/>
        <v>45.442070000000001</v>
      </c>
      <c r="T29" s="6">
        <f t="shared" si="56"/>
        <v>61.802492000000001</v>
      </c>
      <c r="U29" s="6">
        <f t="shared" si="56"/>
        <v>56.065066999999999</v>
      </c>
      <c r="V29" s="6">
        <f t="shared" si="56"/>
        <v>50.544567999999998</v>
      </c>
      <c r="W29" s="67">
        <f t="shared" ref="W29" si="57">+SUM(J25:J29)+SUM(I30:I36)</f>
        <v>47.225775999999996</v>
      </c>
      <c r="X29" s="37">
        <f t="shared" ref="X29" si="58">+SUM(K25:K29)+SUM(J30:J36)</f>
        <v>49.845285000000004</v>
      </c>
      <c r="Y29" s="78">
        <f t="shared" si="46"/>
        <v>5.5467780984689519E-2</v>
      </c>
      <c r="Z29" s="7">
        <f t="shared" si="47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44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59">+SUM(C25:C30)+SUM(B31:B36)</f>
        <v>34.256369000000007</v>
      </c>
      <c r="Q30" s="6">
        <f t="shared" si="59"/>
        <v>32.594542000000004</v>
      </c>
      <c r="R30" s="6">
        <f t="shared" si="59"/>
        <v>39.014240000000001</v>
      </c>
      <c r="S30" s="6">
        <f t="shared" si="59"/>
        <v>47.639866999999995</v>
      </c>
      <c r="T30" s="6">
        <f t="shared" si="59"/>
        <v>60.891330999999994</v>
      </c>
      <c r="U30" s="6">
        <f t="shared" si="59"/>
        <v>56.660569000000002</v>
      </c>
      <c r="V30" s="6">
        <f t="shared" si="59"/>
        <v>49.030306999999993</v>
      </c>
      <c r="W30" s="67">
        <f t="shared" ref="W30" si="60">+SUM(J25:J30)+SUM(I31:I36)</f>
        <v>45.933267000000001</v>
      </c>
      <c r="X30" s="67">
        <f t="shared" ref="X30" si="61">+SUM(K25:K30)+SUM(J31:J36)</f>
        <v>51.101563999999996</v>
      </c>
      <c r="Y30" s="78">
        <f t="shared" si="46"/>
        <v>0.11251751372267926</v>
      </c>
      <c r="Z30" s="7">
        <f t="shared" si="47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/>
      <c r="L31" s="7"/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62">+SUM(C25:C31)+SUM(B32:B36)</f>
        <v>34.659798000000002</v>
      </c>
      <c r="Q31" s="6">
        <f t="shared" si="62"/>
        <v>32.812274000000002</v>
      </c>
      <c r="R31" s="6">
        <f t="shared" si="62"/>
        <v>39.100662</v>
      </c>
      <c r="S31" s="6">
        <f t="shared" si="62"/>
        <v>49.637346000000008</v>
      </c>
      <c r="T31" s="6">
        <f t="shared" si="62"/>
        <v>60.971754000000004</v>
      </c>
      <c r="U31" s="6">
        <f t="shared" si="62"/>
        <v>54.547196</v>
      </c>
      <c r="V31" s="6">
        <f t="shared" si="62"/>
        <v>49.252846000000005</v>
      </c>
      <c r="W31" s="67">
        <f t="shared" ref="W31" si="63">+SUM(J25:J31)+SUM(I32:I36)</f>
        <v>48.623446000000001</v>
      </c>
      <c r="X31" s="67"/>
      <c r="Y31" s="78"/>
      <c r="Z31" s="7"/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/>
      <c r="L32" s="7"/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64">+SUM(C25:C32)+SUM(B33:B36)</f>
        <v>34.307676999999998</v>
      </c>
      <c r="Q32" s="6">
        <f t="shared" si="64"/>
        <v>32.658608999999998</v>
      </c>
      <c r="R32" s="6">
        <f t="shared" si="64"/>
        <v>39.887822999999997</v>
      </c>
      <c r="S32" s="6">
        <f t="shared" si="64"/>
        <v>53.066747000000007</v>
      </c>
      <c r="T32" s="6">
        <f t="shared" si="64"/>
        <v>58.372070000000001</v>
      </c>
      <c r="U32" s="6">
        <f t="shared" si="64"/>
        <v>54.335889000000002</v>
      </c>
      <c r="V32" s="6">
        <f t="shared" si="64"/>
        <v>48.600248000000008</v>
      </c>
      <c r="W32" s="67">
        <f t="shared" ref="W32" si="65">+SUM(J25:J32)+SUM(I33:I36)</f>
        <v>51.236103999999997</v>
      </c>
      <c r="X32" s="67"/>
      <c r="Y32" s="78"/>
      <c r="Z32" s="7"/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/>
      <c r="L33" s="7"/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66">+SUM(C25:C33)+SUM(B34:B36)</f>
        <v>34.420974000000001</v>
      </c>
      <c r="Q33" s="6">
        <f t="shared" si="66"/>
        <v>32.736682000000002</v>
      </c>
      <c r="R33" s="6">
        <f t="shared" si="66"/>
        <v>40.689275000000002</v>
      </c>
      <c r="S33" s="6">
        <f t="shared" si="66"/>
        <v>53.880588000000003</v>
      </c>
      <c r="T33" s="6">
        <f t="shared" si="66"/>
        <v>58.412492999999998</v>
      </c>
      <c r="U33" s="6">
        <f t="shared" si="66"/>
        <v>55.542342000000005</v>
      </c>
      <c r="V33" s="6">
        <f t="shared" si="66"/>
        <v>46.716360000000002</v>
      </c>
      <c r="W33" s="67">
        <f t="shared" ref="W33" si="67">+SUM(J25:J33)+SUM(I34:I36)</f>
        <v>51.286359999999995</v>
      </c>
      <c r="X33" s="67"/>
      <c r="Y33" s="78"/>
      <c r="Z33" s="7"/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/>
      <c r="L34" s="7"/>
      <c r="M34" s="2"/>
      <c r="N34" s="42" t="s">
        <v>7</v>
      </c>
      <c r="O34" s="6">
        <f>+SUM('[1]EXP TOTAL VINO PAIS'!AA169:AA180)/1000000</f>
        <v>31.484123</v>
      </c>
      <c r="P34" s="6">
        <f t="shared" ref="P34:V34" si="68">+SUM(C25:C34)+SUM(B35:B36)</f>
        <v>33.743200000000002</v>
      </c>
      <c r="Q34" s="6">
        <f t="shared" si="68"/>
        <v>33.131019999999999</v>
      </c>
      <c r="R34" s="6">
        <f t="shared" si="68"/>
        <v>41.809471000000002</v>
      </c>
      <c r="S34" s="6">
        <f t="shared" si="68"/>
        <v>54.770694000000006</v>
      </c>
      <c r="T34" s="6">
        <f t="shared" si="68"/>
        <v>57.965476000000002</v>
      </c>
      <c r="U34" s="6">
        <f t="shared" si="68"/>
        <v>55.066659000000001</v>
      </c>
      <c r="V34" s="6">
        <f t="shared" si="68"/>
        <v>47.085229000000005</v>
      </c>
      <c r="W34" s="67">
        <f t="shared" ref="W34" si="69">+SUM(J25:J34)+SUM(I35:I36)</f>
        <v>51.363571999999991</v>
      </c>
      <c r="X34" s="67"/>
      <c r="Y34" s="78"/>
      <c r="Z34" s="7"/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70">+SUM(C25:C35)+SUM(B36)</f>
        <v>33.585196000000003</v>
      </c>
      <c r="Q35" s="6">
        <f t="shared" si="70"/>
        <v>33.740314000000005</v>
      </c>
      <c r="R35" s="6">
        <f t="shared" si="70"/>
        <v>41.976489000000001</v>
      </c>
      <c r="S35" s="6">
        <f t="shared" si="70"/>
        <v>56.209896000000008</v>
      </c>
      <c r="T35" s="6">
        <f t="shared" si="70"/>
        <v>59.016351</v>
      </c>
      <c r="U35" s="6">
        <f t="shared" si="70"/>
        <v>52.884072000000003</v>
      </c>
      <c r="V35" s="6">
        <f t="shared" si="70"/>
        <v>47.057739000000005</v>
      </c>
      <c r="W35" s="67">
        <f t="shared" ref="W35" si="7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72">+SUM(C25:C36)</f>
        <v>33.939956000000002</v>
      </c>
      <c r="Q36" s="6">
        <f t="shared" si="72"/>
        <v>35.373178000000003</v>
      </c>
      <c r="R36" s="6">
        <f t="shared" si="72"/>
        <v>42.310549999999999</v>
      </c>
      <c r="S36" s="6">
        <f t="shared" si="72"/>
        <v>56.375712000000007</v>
      </c>
      <c r="T36" s="6">
        <f t="shared" si="72"/>
        <v>60.042217000000001</v>
      </c>
      <c r="U36" s="6">
        <f t="shared" si="72"/>
        <v>51.356019000000003</v>
      </c>
      <c r="V36" s="6">
        <f t="shared" si="72"/>
        <v>48.063969000000007</v>
      </c>
      <c r="W36" s="67">
        <f t="shared" ref="W36" si="7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74">SUM(B25:B36)</f>
        <v>31.338954000000005</v>
      </c>
      <c r="C37" s="159">
        <f t="shared" si="74"/>
        <v>33.939956000000002</v>
      </c>
      <c r="D37" s="159">
        <f t="shared" si="74"/>
        <v>35.373178000000003</v>
      </c>
      <c r="E37" s="159">
        <f t="shared" si="74"/>
        <v>42.310549999999999</v>
      </c>
      <c r="F37" s="159">
        <f t="shared" si="74"/>
        <v>56.375712000000007</v>
      </c>
      <c r="G37" s="159">
        <f t="shared" si="74"/>
        <v>60.042217000000001</v>
      </c>
      <c r="H37" s="159">
        <f t="shared" ref="H37:I37" si="75">SUM(H25:H36)</f>
        <v>51.356019000000003</v>
      </c>
      <c r="I37" s="159">
        <f t="shared" si="75"/>
        <v>48.063969000000007</v>
      </c>
      <c r="J37" s="216">
        <f t="shared" ref="J37" si="76">SUM(J25:J36)</f>
        <v>51.878506999999992</v>
      </c>
      <c r="K37" s="216"/>
      <c r="L37" s="56"/>
      <c r="M37" s="3"/>
      <c r="N37" s="43" t="s">
        <v>14</v>
      </c>
      <c r="O37" s="46">
        <f t="shared" ref="O37" si="77">+AVERAGE(O25:O36)</f>
        <v>30.661497916666665</v>
      </c>
      <c r="P37" s="46">
        <f>+AVERAGE(P25:P36)</f>
        <v>33.31302625</v>
      </c>
      <c r="Q37" s="46">
        <f t="shared" ref="Q37:X37" si="78">+AVERAGE(Q25:Q36)</f>
        <v>33.362585416666668</v>
      </c>
      <c r="R37" s="46">
        <f t="shared" si="78"/>
        <v>39.378565333333334</v>
      </c>
      <c r="S37" s="46">
        <f t="shared" si="78"/>
        <v>49.241192833333336</v>
      </c>
      <c r="T37" s="46">
        <f t="shared" si="78"/>
        <v>59.352315083333337</v>
      </c>
      <c r="U37" s="46">
        <f t="shared" si="78"/>
        <v>56.021654416666671</v>
      </c>
      <c r="V37" s="46">
        <f t="shared" si="78"/>
        <v>48.945113833333345</v>
      </c>
      <c r="W37" s="68">
        <f t="shared" si="78"/>
        <v>49.435071583333333</v>
      </c>
      <c r="X37" s="47">
        <f t="shared" si="78"/>
        <v>50.406882499999995</v>
      </c>
      <c r="Y37" s="79">
        <f>+X37/W37-1</f>
        <v>1.9658329310365596E-2</v>
      </c>
      <c r="Z37" s="75">
        <f>+POWER(X37/S37,0.2)-1</f>
        <v>4.6904051518663614E-3</v>
      </c>
    </row>
    <row r="38" spans="1:26" ht="25.5" x14ac:dyDescent="0.25">
      <c r="A38" s="57" t="s">
        <v>15</v>
      </c>
      <c r="B38" s="58">
        <f t="shared" ref="B38:G38" si="79">+B37/B$181</f>
        <v>0.120879405037476</v>
      </c>
      <c r="C38" s="58">
        <f t="shared" si="79"/>
        <v>0.15122135260029529</v>
      </c>
      <c r="D38" s="58">
        <f t="shared" si="79"/>
        <v>0.1289462402452157</v>
      </c>
      <c r="E38" s="58">
        <f t="shared" si="79"/>
        <v>0.13878651197773204</v>
      </c>
      <c r="F38" s="58">
        <f t="shared" si="79"/>
        <v>0.14423431730588243</v>
      </c>
      <c r="G38" s="58">
        <f t="shared" si="79"/>
        <v>0.20781916056107355</v>
      </c>
      <c r="H38" s="58">
        <f t="shared" ref="H38" si="80">+H37/H$181</f>
        <v>0.20809680055339566</v>
      </c>
      <c r="I38" s="58">
        <f t="shared" ref="I38:J38" si="81">+I37/I$360</f>
        <v>7.3695476980114916E-2</v>
      </c>
      <c r="J38" s="189">
        <f t="shared" si="81"/>
        <v>7.6155849474835405E-2</v>
      </c>
      <c r="K38" s="234"/>
      <c r="L38" s="59"/>
      <c r="M38" s="3"/>
      <c r="N38" s="44" t="s">
        <v>15</v>
      </c>
      <c r="O38" s="48">
        <f t="shared" ref="O38:X38" si="82">+O37/O$181</f>
        <v>0.11841685525584231</v>
      </c>
      <c r="P38" s="48">
        <f t="shared" si="82"/>
        <v>0.13848383809635684</v>
      </c>
      <c r="Q38" s="48">
        <f t="shared" si="82"/>
        <v>0.14157588796349937</v>
      </c>
      <c r="R38" s="48">
        <f t="shared" si="82"/>
        <v>0.1329125390379729</v>
      </c>
      <c r="S38" s="48">
        <f t="shared" si="82"/>
        <v>0.13219117673552125</v>
      </c>
      <c r="T38" s="48">
        <f t="shared" si="82"/>
        <v>0.18301675988414531</v>
      </c>
      <c r="U38" s="48">
        <f t="shared" si="82"/>
        <v>0.20700979367286307</v>
      </c>
      <c r="V38" s="48">
        <f t="shared" si="82"/>
        <v>0.2332458233712221</v>
      </c>
      <c r="W38" s="69">
        <f t="shared" si="82"/>
        <v>0.26510498143180306</v>
      </c>
      <c r="X38" s="72">
        <f t="shared" si="82"/>
        <v>0.25845735850034879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83">+D37/C37-1</f>
        <v>4.2228163171454947E-2</v>
      </c>
      <c r="E39" s="62">
        <f t="shared" si="83"/>
        <v>0.19611955702707839</v>
      </c>
      <c r="F39" s="62">
        <f t="shared" si="83"/>
        <v>0.33242682971504767</v>
      </c>
      <c r="G39" s="62">
        <f t="shared" si="83"/>
        <v>6.5036961307025187E-2</v>
      </c>
      <c r="H39" s="62">
        <f t="shared" si="83"/>
        <v>-0.14466817572708879</v>
      </c>
      <c r="I39" s="62">
        <f t="shared" si="83"/>
        <v>-6.4102515422778339E-2</v>
      </c>
      <c r="J39" s="190">
        <f t="shared" si="8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84">+Q37/P37-1</f>
        <v>1.4876813140525247E-3</v>
      </c>
      <c r="R39" s="50">
        <f t="shared" ref="R39" si="85">+R37/Q37-1</f>
        <v>0.18032115441692698</v>
      </c>
      <c r="S39" s="50">
        <f t="shared" ref="S39" si="86">+S37/R37-1</f>
        <v>0.25045675017650892</v>
      </c>
      <c r="T39" s="50">
        <f t="shared" ref="T39" si="87">+T37/S37-1</f>
        <v>0.20533869445898922</v>
      </c>
      <c r="U39" s="50">
        <f t="shared" ref="U39" si="88">+U37/T37-1</f>
        <v>-5.6116777618366975E-2</v>
      </c>
      <c r="V39" s="50">
        <f t="shared" ref="V39" si="89">+V37/U37-1</f>
        <v>-0.12631795074634611</v>
      </c>
      <c r="W39" s="70">
        <f t="shared" ref="W39" si="90">+W37/V37-1</f>
        <v>1.001035060758837E-2</v>
      </c>
      <c r="X39" s="73">
        <f t="shared" ref="X39" si="91">+X37/W37-1</f>
        <v>1.9658329310365596E-2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106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107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92">+C42+1</f>
        <v>2018</v>
      </c>
      <c r="E42" s="39">
        <f t="shared" si="92"/>
        <v>2019</v>
      </c>
      <c r="F42" s="39">
        <f t="shared" si="92"/>
        <v>2020</v>
      </c>
      <c r="G42" s="39">
        <f t="shared" si="92"/>
        <v>2021</v>
      </c>
      <c r="H42" s="39">
        <f t="shared" si="9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93">+P42+1</f>
        <v>2018</v>
      </c>
      <c r="R42" s="64">
        <f t="shared" ref="R42" si="94">+Q42+1</f>
        <v>2019</v>
      </c>
      <c r="S42" s="64">
        <f t="shared" ref="S42" si="95">+R42+1</f>
        <v>2020</v>
      </c>
      <c r="T42" s="64">
        <f t="shared" ref="T42" si="96">+S42+1</f>
        <v>2021</v>
      </c>
      <c r="U42" s="64">
        <f t="shared" ref="U42" si="97">+T42+1</f>
        <v>2022</v>
      </c>
      <c r="V42" s="64">
        <f t="shared" ref="V42" si="9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9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00">+SUM(C43)+SUM(B44:B54)</f>
        <v>20.383514000000002</v>
      </c>
      <c r="Q43" s="6">
        <f t="shared" si="100"/>
        <v>16.959506999999999</v>
      </c>
      <c r="R43" s="6">
        <f t="shared" si="100"/>
        <v>25.866350999999998</v>
      </c>
      <c r="S43" s="6">
        <f t="shared" si="100"/>
        <v>34.964895999999996</v>
      </c>
      <c r="T43" s="6">
        <f t="shared" si="100"/>
        <v>43.756643000000004</v>
      </c>
      <c r="U43" s="6">
        <f t="shared" si="100"/>
        <v>26.957346999999999</v>
      </c>
      <c r="V43" s="6">
        <f t="shared" si="100"/>
        <v>12.230397999999997</v>
      </c>
      <c r="W43" s="67">
        <f t="shared" si="100"/>
        <v>10.015373</v>
      </c>
      <c r="X43" s="37">
        <f t="shared" si="100"/>
        <v>14.146269999999999</v>
      </c>
      <c r="Y43" s="78">
        <f t="shared" ref="Y43:Y48" si="101">+X43/W43-1</f>
        <v>0.41245563195699231</v>
      </c>
      <c r="Z43" s="7">
        <f t="shared" ref="Z43:Z48" si="10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9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03">+SUM(C43:C44)+SUM(B45:B54)</f>
        <v>20.141338000000001</v>
      </c>
      <c r="Q44" s="6">
        <f t="shared" si="103"/>
        <v>16.647429000000002</v>
      </c>
      <c r="R44" s="6">
        <f t="shared" si="103"/>
        <v>27.731762</v>
      </c>
      <c r="S44" s="6">
        <f t="shared" si="103"/>
        <v>35.573697000000003</v>
      </c>
      <c r="T44" s="6">
        <f t="shared" si="103"/>
        <v>44.072696999999998</v>
      </c>
      <c r="U44" s="6">
        <f t="shared" si="103"/>
        <v>24.420621999999998</v>
      </c>
      <c r="V44" s="6">
        <f t="shared" si="103"/>
        <v>11.653964999999999</v>
      </c>
      <c r="W44" s="67">
        <f t="shared" ref="W44" si="104">+SUM(J43:J44)+SUM(I45:I54)</f>
        <v>10.024407</v>
      </c>
      <c r="X44" s="67">
        <f t="shared" ref="X44" si="105">+SUM(K43:K44)+SUM(J45:J54)</f>
        <v>14.172222999999999</v>
      </c>
      <c r="Y44" s="78">
        <f t="shared" si="101"/>
        <v>0.4137717073937639</v>
      </c>
      <c r="Z44" s="7">
        <f t="shared" si="10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9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06">+SUM(C43:C45)+SUM(B46:B54)</f>
        <v>19.929205</v>
      </c>
      <c r="Q45" s="6">
        <f t="shared" si="106"/>
        <v>16.308536</v>
      </c>
      <c r="R45" s="6">
        <f t="shared" si="106"/>
        <v>29.386995000000002</v>
      </c>
      <c r="S45" s="6">
        <f t="shared" si="106"/>
        <v>36.985159000000003</v>
      </c>
      <c r="T45" s="6">
        <f t="shared" si="106"/>
        <v>43.082329000000001</v>
      </c>
      <c r="U45" s="6">
        <f t="shared" si="106"/>
        <v>21.877980999999998</v>
      </c>
      <c r="V45" s="6">
        <f t="shared" si="106"/>
        <v>11.635721999999999</v>
      </c>
      <c r="W45" s="67">
        <f t="shared" si="106"/>
        <v>11.456362</v>
      </c>
      <c r="X45" s="67">
        <f t="shared" ref="X45" si="107">+SUM(K43:K45)+SUM(J46:J54)</f>
        <v>12.994793</v>
      </c>
      <c r="Y45" s="78">
        <f t="shared" si="101"/>
        <v>0.13428617217228278</v>
      </c>
      <c r="Z45" s="7">
        <f t="shared" si="10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9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08">+SUM(C43:C46)+SUM(B47:B54)</f>
        <v>19.285401999999998</v>
      </c>
      <c r="Q46" s="6">
        <f t="shared" si="108"/>
        <v>16.095714000000001</v>
      </c>
      <c r="R46" s="6">
        <f t="shared" si="108"/>
        <v>31.036384999999996</v>
      </c>
      <c r="S46" s="6">
        <f t="shared" si="108"/>
        <v>38.475172999999998</v>
      </c>
      <c r="T46" s="6">
        <f t="shared" si="108"/>
        <v>41.542358999999998</v>
      </c>
      <c r="U46" s="6">
        <f t="shared" si="108"/>
        <v>19.895033999999999</v>
      </c>
      <c r="V46" s="6">
        <f t="shared" si="108"/>
        <v>11.744674999999999</v>
      </c>
      <c r="W46" s="67">
        <f t="shared" ref="W46" si="109">+SUM(J43:J46)+SUM(I47:I54)</f>
        <v>12.388085999999999</v>
      </c>
      <c r="X46" s="37">
        <f t="shared" ref="X46" si="110">+SUM(K43:K46)+SUM(J47:J54)</f>
        <v>11.674590999999999</v>
      </c>
      <c r="Y46" s="78">
        <f t="shared" si="101"/>
        <v>-5.7595257249586473E-2</v>
      </c>
      <c r="Z46" s="7">
        <f t="shared" si="10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9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11">+SUM(C43:C47)+SUM(B48:B54)</f>
        <v>18.551289999999998</v>
      </c>
      <c r="Q47" s="6">
        <f t="shared" si="111"/>
        <v>16.014534000000001</v>
      </c>
      <c r="R47" s="6">
        <f t="shared" si="111"/>
        <v>32.620391999999995</v>
      </c>
      <c r="S47" s="6">
        <f t="shared" si="111"/>
        <v>41.051237999999998</v>
      </c>
      <c r="T47" s="6">
        <f t="shared" si="111"/>
        <v>38.964092999999998</v>
      </c>
      <c r="U47" s="6">
        <f t="shared" si="111"/>
        <v>18.373911</v>
      </c>
      <c r="V47" s="6">
        <f t="shared" si="111"/>
        <v>11.180276000000001</v>
      </c>
      <c r="W47" s="67">
        <f t="shared" ref="W47" si="112">+SUM(J43:J47)+SUM(I48:I54)</f>
        <v>12.558415</v>
      </c>
      <c r="X47" s="37">
        <f t="shared" ref="X47" si="113">+SUM(K43:K47)+SUM(J48:J54)</f>
        <v>12.006003999999999</v>
      </c>
      <c r="Y47" s="78">
        <f t="shared" si="101"/>
        <v>-4.3987318463357128E-2</v>
      </c>
      <c r="Z47" s="7">
        <f t="shared" si="10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9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14">+SUM(C43:C48)+SUM(B49:B54)</f>
        <v>18.011615999999997</v>
      </c>
      <c r="Q48" s="6">
        <f t="shared" si="114"/>
        <v>16.065752</v>
      </c>
      <c r="R48" s="6">
        <f t="shared" si="114"/>
        <v>33.050393</v>
      </c>
      <c r="S48" s="6">
        <f t="shared" si="114"/>
        <v>41.929411999999999</v>
      </c>
      <c r="T48" s="6">
        <f t="shared" si="114"/>
        <v>38.461591999999996</v>
      </c>
      <c r="U48" s="6">
        <f t="shared" si="114"/>
        <v>17.932943999999999</v>
      </c>
      <c r="V48" s="6">
        <f t="shared" si="114"/>
        <v>10.205490000000001</v>
      </c>
      <c r="W48" s="67">
        <f t="shared" ref="W48" si="115">+SUM(J43:J48)+SUM(I49:I54)</f>
        <v>12.106960999999998</v>
      </c>
      <c r="X48" s="67">
        <f t="shared" ref="X48" si="116">+SUM(K43:K48)+SUM(J49:J54)</f>
        <v>12.558899</v>
      </c>
      <c r="Y48" s="78">
        <f t="shared" si="101"/>
        <v>3.7328773091777734E-2</v>
      </c>
      <c r="Z48" s="7">
        <f t="shared" si="10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/>
      <c r="L49" s="7"/>
      <c r="M49" s="2"/>
      <c r="N49" s="42" t="s">
        <v>4</v>
      </c>
      <c r="O49" s="6">
        <f>+SUM('[1]EXP TOTAL VINO PAIS'!AB166:AB177)/1000000</f>
        <v>21.525575</v>
      </c>
      <c r="P49" s="6">
        <f t="shared" ref="P49:V49" si="117">+SUM(C43:C49)+SUM(B50:B54)</f>
        <v>18.385739999999998</v>
      </c>
      <c r="Q49" s="6">
        <f t="shared" si="117"/>
        <v>16.973222999999997</v>
      </c>
      <c r="R49" s="6">
        <f t="shared" si="117"/>
        <v>33.060530999999997</v>
      </c>
      <c r="S49" s="6">
        <f t="shared" si="117"/>
        <v>41.962333999999998</v>
      </c>
      <c r="T49" s="6">
        <f t="shared" si="117"/>
        <v>37.833283999999999</v>
      </c>
      <c r="U49" s="6">
        <f t="shared" si="117"/>
        <v>16.651907999999999</v>
      </c>
      <c r="V49" s="6">
        <f t="shared" si="117"/>
        <v>10.621570999999999</v>
      </c>
      <c r="W49" s="67">
        <f t="shared" ref="W49" si="118">+SUM(J43:J49)+SUM(I50:I54)</f>
        <v>12.425573999999997</v>
      </c>
      <c r="X49" s="67"/>
      <c r="Y49" s="78"/>
      <c r="Z49" s="7"/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/>
      <c r="L50" s="7"/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19">+SUM(C43:C50)+SUM(B51:B54)</f>
        <v>17.960699999999999</v>
      </c>
      <c r="Q50" s="6">
        <f t="shared" si="119"/>
        <v>18.325784999999996</v>
      </c>
      <c r="R50" s="6">
        <f t="shared" si="119"/>
        <v>33.492958999999999</v>
      </c>
      <c r="S50" s="6">
        <f t="shared" si="119"/>
        <v>43.874008000000003</v>
      </c>
      <c r="T50" s="6">
        <f t="shared" si="119"/>
        <v>34.134146999999999</v>
      </c>
      <c r="U50" s="6">
        <f t="shared" si="119"/>
        <v>16.422167999999999</v>
      </c>
      <c r="V50" s="6">
        <f t="shared" si="119"/>
        <v>9.8110330000000019</v>
      </c>
      <c r="W50" s="67">
        <f t="shared" ref="W50" si="120">+SUM(J43:J50)+SUM(I51:I54)</f>
        <v>13.371112999999998</v>
      </c>
      <c r="X50" s="67"/>
      <c r="Y50" s="78"/>
      <c r="Z50" s="7"/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/>
      <c r="L51" s="7"/>
      <c r="M51" s="2"/>
      <c r="N51" s="42" t="s">
        <v>6</v>
      </c>
      <c r="O51" s="6">
        <f>+SUM('[1]EXP TOTAL VINO PAIS'!AB168:AB179)/1000000</f>
        <v>20.822872</v>
      </c>
      <c r="P51" s="6">
        <f t="shared" ref="P51:V51" si="121">+SUM(C43:C51)+SUM(B52:B54)</f>
        <v>17.291045</v>
      </c>
      <c r="Q51" s="6">
        <f t="shared" si="121"/>
        <v>19.064912</v>
      </c>
      <c r="R51" s="6">
        <f t="shared" si="121"/>
        <v>33.834533</v>
      </c>
      <c r="S51" s="6">
        <f t="shared" si="121"/>
        <v>44.515027000000003</v>
      </c>
      <c r="T51" s="6">
        <f t="shared" si="121"/>
        <v>33.164620999999997</v>
      </c>
      <c r="U51" s="6">
        <f t="shared" si="121"/>
        <v>15.674326000000001</v>
      </c>
      <c r="V51" s="6">
        <f t="shared" si="121"/>
        <v>9.945881</v>
      </c>
      <c r="W51" s="67">
        <f t="shared" ref="W51" si="122">+SUM(J43:J51)+SUM(I52:I54)</f>
        <v>13.203036999999998</v>
      </c>
      <c r="X51" s="67"/>
      <c r="Y51" s="78"/>
      <c r="Z51" s="7"/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/>
      <c r="L52" s="7"/>
      <c r="M52" s="2"/>
      <c r="N52" s="42" t="s">
        <v>7</v>
      </c>
      <c r="O52" s="6">
        <f>+SUM('[1]EXP TOTAL VINO PAIS'!AB169:AB180)/1000000</f>
        <v>20.697599</v>
      </c>
      <c r="P52" s="6">
        <f t="shared" ref="P52:V52" si="123">+SUM(C43:C52)+SUM(B53:B54)</f>
        <v>17.322077999999998</v>
      </c>
      <c r="Q52" s="6">
        <f t="shared" si="123"/>
        <v>19.802363999999997</v>
      </c>
      <c r="R52" s="6">
        <f t="shared" si="123"/>
        <v>34.315382</v>
      </c>
      <c r="S52" s="6">
        <f t="shared" si="123"/>
        <v>44.764029000000008</v>
      </c>
      <c r="T52" s="6">
        <f t="shared" si="123"/>
        <v>32.102412000000001</v>
      </c>
      <c r="U52" s="6">
        <f t="shared" si="123"/>
        <v>14.138693</v>
      </c>
      <c r="V52" s="6">
        <f t="shared" si="123"/>
        <v>10.029944</v>
      </c>
      <c r="W52" s="67">
        <f t="shared" ref="W52" si="124">+SUM(J43:J52)+SUM(I53:I54)</f>
        <v>13.520535999999998</v>
      </c>
      <c r="X52" s="67"/>
      <c r="Y52" s="78"/>
      <c r="Z52" s="7"/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25">+SUM(C43:C53)+SUM(B54)</f>
        <v>17.314719</v>
      </c>
      <c r="Q53" s="6">
        <f t="shared" si="125"/>
        <v>20.562131999999998</v>
      </c>
      <c r="R53" s="6">
        <f t="shared" si="125"/>
        <v>34.544209000000002</v>
      </c>
      <c r="S53" s="6">
        <f t="shared" si="125"/>
        <v>45.114411000000004</v>
      </c>
      <c r="T53" s="6">
        <f t="shared" si="125"/>
        <v>31.303529999999999</v>
      </c>
      <c r="U53" s="6">
        <f t="shared" si="125"/>
        <v>13.265530999999999</v>
      </c>
      <c r="V53" s="6">
        <f t="shared" si="125"/>
        <v>9.9453040000000019</v>
      </c>
      <c r="W53" s="67">
        <f t="shared" ref="W53" si="126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27">+SUM(C43:C54)</f>
        <v>17.430828999999999</v>
      </c>
      <c r="Q54" s="6">
        <f t="shared" si="127"/>
        <v>23.441103999999996</v>
      </c>
      <c r="R54" s="6">
        <f t="shared" si="127"/>
        <v>34.991060000000004</v>
      </c>
      <c r="S54" s="6">
        <f t="shared" si="127"/>
        <v>43.781208000000007</v>
      </c>
      <c r="T54" s="6">
        <f t="shared" si="127"/>
        <v>29.752226999999998</v>
      </c>
      <c r="U54" s="6">
        <f t="shared" si="127"/>
        <v>12.086794999999999</v>
      </c>
      <c r="V54" s="6">
        <f t="shared" si="127"/>
        <v>9.867542000000002</v>
      </c>
      <c r="W54" s="67">
        <f t="shared" ref="W54" si="128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29">SUM(C43:C54)</f>
        <v>17.430828999999999</v>
      </c>
      <c r="D55" s="159">
        <f t="shared" si="129"/>
        <v>23.441103999999996</v>
      </c>
      <c r="E55" s="159">
        <f t="shared" si="129"/>
        <v>34.991060000000004</v>
      </c>
      <c r="F55" s="159">
        <f t="shared" si="129"/>
        <v>43.781208000000007</v>
      </c>
      <c r="G55" s="159">
        <f t="shared" ref="G55" si="130">SUM(G43:G54)</f>
        <v>29.752226999999998</v>
      </c>
      <c r="H55" s="159">
        <f t="shared" ref="H55:I55" si="131">SUM(H43:H54)</f>
        <v>12.086794999999999</v>
      </c>
      <c r="I55" s="159">
        <f t="shared" si="131"/>
        <v>9.867542000000002</v>
      </c>
      <c r="J55" s="216">
        <f t="shared" ref="J55" si="132">SUM(J43:J54)</f>
        <v>14.359818999999998</v>
      </c>
      <c r="K55" s="216"/>
      <c r="L55" s="56"/>
      <c r="M55" s="3"/>
      <c r="N55" s="43" t="s">
        <v>14</v>
      </c>
      <c r="O55" s="46">
        <f t="shared" ref="O55" si="133">+AVERAGE(O43:O54)</f>
        <v>21.581594833333337</v>
      </c>
      <c r="P55" s="46">
        <f>+AVERAGE(P43:P54)</f>
        <v>18.500623000000001</v>
      </c>
      <c r="Q55" s="46">
        <f t="shared" ref="Q55:X55" si="134">+AVERAGE(Q43:Q54)</f>
        <v>18.021749333333329</v>
      </c>
      <c r="R55" s="46">
        <f t="shared" si="134"/>
        <v>31.994246000000004</v>
      </c>
      <c r="S55" s="46">
        <f t="shared" si="134"/>
        <v>41.08254933333334</v>
      </c>
      <c r="T55" s="46">
        <f t="shared" si="134"/>
        <v>37.347494500000003</v>
      </c>
      <c r="U55" s="46">
        <f t="shared" si="134"/>
        <v>18.14143833333333</v>
      </c>
      <c r="V55" s="46">
        <f t="shared" si="134"/>
        <v>10.739316750000002</v>
      </c>
      <c r="W55" s="68">
        <f t="shared" si="134"/>
        <v>12.418711499999999</v>
      </c>
      <c r="X55" s="47">
        <f t="shared" si="134"/>
        <v>12.925463333333333</v>
      </c>
      <c r="Y55" s="79">
        <f>+X55/W55-1</f>
        <v>4.0805508150610903E-2</v>
      </c>
      <c r="Z55" s="75">
        <f>+POWER(X55/S55,0.2)-1</f>
        <v>-0.20648023815027139</v>
      </c>
    </row>
    <row r="56" spans="1:26" ht="25.5" x14ac:dyDescent="0.25">
      <c r="A56" s="57" t="s">
        <v>15</v>
      </c>
      <c r="B56" s="58">
        <f t="shared" ref="B56:G56" si="135">+B55/B$181</f>
        <v>7.9076037033532734E-2</v>
      </c>
      <c r="C56" s="58">
        <f t="shared" si="135"/>
        <v>7.7664023439643001E-2</v>
      </c>
      <c r="D56" s="58">
        <f t="shared" si="135"/>
        <v>8.5450117826481015E-2</v>
      </c>
      <c r="E56" s="58">
        <f t="shared" si="135"/>
        <v>0.1147772167415347</v>
      </c>
      <c r="F56" s="58">
        <f t="shared" si="135"/>
        <v>0.112011936039173</v>
      </c>
      <c r="G56" s="58">
        <f t="shared" si="135"/>
        <v>0.10297892297951801</v>
      </c>
      <c r="H56" s="58">
        <f t="shared" ref="H56" si="136">+H55/H$181</f>
        <v>4.8976213838630669E-2</v>
      </c>
      <c r="I56" s="58">
        <f t="shared" ref="I56:J56" si="137">+I55/I$360</f>
        <v>1.5129695475446838E-2</v>
      </c>
      <c r="J56" s="189">
        <f t="shared" si="137"/>
        <v>2.107971638909889E-2</v>
      </c>
      <c r="K56" s="234"/>
      <c r="L56" s="59"/>
      <c r="M56" s="3"/>
      <c r="N56" s="44" t="s">
        <v>15</v>
      </c>
      <c r="O56" s="48">
        <f t="shared" ref="O56:X56" si="138">+O55/O$181</f>
        <v>8.3349632771199597E-2</v>
      </c>
      <c r="P56" s="48">
        <f t="shared" si="138"/>
        <v>7.6907971704123862E-2</v>
      </c>
      <c r="Q56" s="48">
        <f t="shared" si="138"/>
        <v>7.6476242253325638E-2</v>
      </c>
      <c r="R56" s="48">
        <f t="shared" si="138"/>
        <v>0.1079886083829948</v>
      </c>
      <c r="S56" s="48">
        <f t="shared" si="138"/>
        <v>0.1102887689591497</v>
      </c>
      <c r="T56" s="48">
        <f t="shared" si="138"/>
        <v>0.115163451056357</v>
      </c>
      <c r="U56" s="48">
        <f t="shared" si="138"/>
        <v>6.7035781884996204E-2</v>
      </c>
      <c r="V56" s="48">
        <f t="shared" si="138"/>
        <v>5.1177749556937019E-2</v>
      </c>
      <c r="W56" s="69">
        <f t="shared" si="138"/>
        <v>6.6597704345681186E-2</v>
      </c>
      <c r="X56" s="72">
        <f t="shared" si="138"/>
        <v>6.6274305111538021E-2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39">+D55/C55-1</f>
        <v>0.34480718042727609</v>
      </c>
      <c r="E57" s="62">
        <f t="shared" si="139"/>
        <v>0.49272235642143869</v>
      </c>
      <c r="F57" s="62">
        <f t="shared" si="139"/>
        <v>0.25121125224557361</v>
      </c>
      <c r="G57" s="62">
        <f t="shared" si="139"/>
        <v>-0.32043384915281481</v>
      </c>
      <c r="H57" s="62">
        <f t="shared" si="139"/>
        <v>-0.59375158706607079</v>
      </c>
      <c r="I57" s="62">
        <f t="shared" si="139"/>
        <v>-0.18360971622336586</v>
      </c>
      <c r="J57" s="190">
        <f t="shared" si="139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40">+Q55/P55-1</f>
        <v>-2.5884191395428746E-2</v>
      </c>
      <c r="R57" s="50">
        <f t="shared" ref="R57" si="141">+R55/Q55-1</f>
        <v>0.77531300698001115</v>
      </c>
      <c r="S57" s="50">
        <f t="shared" ref="S57" si="142">+S55/R55-1</f>
        <v>0.28406055680553721</v>
      </c>
      <c r="T57" s="50">
        <f t="shared" ref="T57" si="143">+T55/S55-1</f>
        <v>-9.091584855233914E-2</v>
      </c>
      <c r="U57" s="50">
        <f t="shared" ref="U57" si="144">+U55/T55-1</f>
        <v>-0.51425286819887406</v>
      </c>
      <c r="V57" s="50">
        <f t="shared" ref="V57" si="145">+V55/U55-1</f>
        <v>-0.40802286165659574</v>
      </c>
      <c r="W57" s="70">
        <f t="shared" ref="W57" si="146">+W55/V55-1</f>
        <v>0.15637817461711401</v>
      </c>
      <c r="X57" s="73">
        <f t="shared" ref="X57" si="147">+X55/W55-1</f>
        <v>4.0805508150610903E-2</v>
      </c>
      <c r="Y57" s="51"/>
      <c r="Z57" s="52"/>
    </row>
    <row r="58" spans="1:26" ht="15.75" thickBot="1" x14ac:dyDescent="0.3"/>
    <row r="59" spans="1:26" ht="15.75" thickBot="1" x14ac:dyDescent="0.3">
      <c r="A59" s="351" t="s">
        <v>108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109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48">+C60+1</f>
        <v>2018</v>
      </c>
      <c r="E60" s="39">
        <f t="shared" si="148"/>
        <v>2019</v>
      </c>
      <c r="F60" s="39">
        <f t="shared" si="148"/>
        <v>2020</v>
      </c>
      <c r="G60" s="39">
        <f t="shared" si="148"/>
        <v>2021</v>
      </c>
      <c r="H60" s="39">
        <f t="shared" si="148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49">+P60+1</f>
        <v>2018</v>
      </c>
      <c r="R60" s="64">
        <f t="shared" ref="R60" si="150">+Q60+1</f>
        <v>2019</v>
      </c>
      <c r="S60" s="64">
        <f t="shared" ref="S60" si="151">+R60+1</f>
        <v>2020</v>
      </c>
      <c r="T60" s="64">
        <f t="shared" ref="T60" si="152">+S60+1</f>
        <v>2021</v>
      </c>
      <c r="U60" s="64">
        <f t="shared" ref="U60" si="153">+T60+1</f>
        <v>2022</v>
      </c>
      <c r="V60" s="64">
        <f t="shared" ref="V60" si="154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55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56">+SUM(C61)+SUM(B62:B72)</f>
        <v>14.90375</v>
      </c>
      <c r="Q61" s="6">
        <f t="shared" si="156"/>
        <v>16.556168</v>
      </c>
      <c r="R61" s="6">
        <f t="shared" si="156"/>
        <v>15.914369000000001</v>
      </c>
      <c r="S61" s="6">
        <f t="shared" si="156"/>
        <v>17.675551000000002</v>
      </c>
      <c r="T61" s="6">
        <f t="shared" si="156"/>
        <v>24.091116999999997</v>
      </c>
      <c r="U61" s="6">
        <f t="shared" si="156"/>
        <v>27.735144000000002</v>
      </c>
      <c r="V61" s="6">
        <f t="shared" si="156"/>
        <v>29.547384999999998</v>
      </c>
      <c r="W61" s="67">
        <f t="shared" si="156"/>
        <v>25.629724</v>
      </c>
      <c r="X61" s="37">
        <f t="shared" si="156"/>
        <v>25.519831999999997</v>
      </c>
      <c r="Y61" s="78">
        <f t="shared" ref="Y61:Y66" si="157">+X61/W61-1</f>
        <v>-4.287677854041716E-3</v>
      </c>
      <c r="Z61" s="7">
        <f t="shared" ref="Z61:Z66" si="158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55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59">+SUM(C61:C62)+SUM(B63:B72)</f>
        <v>15.260351</v>
      </c>
      <c r="Q62" s="6">
        <f t="shared" si="159"/>
        <v>16.556680999999998</v>
      </c>
      <c r="R62" s="6">
        <f t="shared" si="159"/>
        <v>15.937387999999999</v>
      </c>
      <c r="S62" s="6">
        <f t="shared" si="159"/>
        <v>17.965896000000001</v>
      </c>
      <c r="T62" s="6">
        <f t="shared" si="159"/>
        <v>24.139234999999999</v>
      </c>
      <c r="U62" s="6">
        <f t="shared" si="159"/>
        <v>28.552474000000004</v>
      </c>
      <c r="V62" s="6">
        <f t="shared" si="159"/>
        <v>29.275059999999996</v>
      </c>
      <c r="W62" s="67">
        <f t="shared" ref="W62" si="160">+SUM(J61:J62)+SUM(I63:I72)</f>
        <v>25.231731</v>
      </c>
      <c r="X62" s="67">
        <f t="shared" ref="X62" si="161">+SUM(K61:K62)+SUM(J63:J72)</f>
        <v>25.244951</v>
      </c>
      <c r="Y62" s="78">
        <f t="shared" si="157"/>
        <v>5.2394344248529734E-4</v>
      </c>
      <c r="Z62" s="7">
        <f t="shared" si="158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55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62">+SUM(C61:C63)+SUM(B64:B72)</f>
        <v>15.15924</v>
      </c>
      <c r="Q63" s="6">
        <f t="shared" si="162"/>
        <v>16.925502999999999</v>
      </c>
      <c r="R63" s="6">
        <f t="shared" si="162"/>
        <v>15.692542999999997</v>
      </c>
      <c r="S63" s="6">
        <f t="shared" si="162"/>
        <v>17.820460999999998</v>
      </c>
      <c r="T63" s="6">
        <f t="shared" si="162"/>
        <v>25.341104000000001</v>
      </c>
      <c r="U63" s="6">
        <f t="shared" si="162"/>
        <v>28.448935000000002</v>
      </c>
      <c r="V63" s="6">
        <f t="shared" si="162"/>
        <v>29.666103999999997</v>
      </c>
      <c r="W63" s="67">
        <f t="shared" si="162"/>
        <v>23.489874</v>
      </c>
      <c r="X63" s="67">
        <f t="shared" ref="X63" si="163">+SUM(K61:K63)+SUM(J64:J72)</f>
        <v>26.445449000000004</v>
      </c>
      <c r="Y63" s="78">
        <f t="shared" si="157"/>
        <v>0.12582336542120243</v>
      </c>
      <c r="Z63" s="7">
        <f t="shared" si="158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55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64">+SUM(C61:C64)+SUM(B65:B72)</f>
        <v>15.573389000000001</v>
      </c>
      <c r="Q64" s="6">
        <f t="shared" si="164"/>
        <v>16.857861999999997</v>
      </c>
      <c r="R64" s="6">
        <f t="shared" si="164"/>
        <v>15.758233000000001</v>
      </c>
      <c r="S64" s="6">
        <f t="shared" si="164"/>
        <v>17.046793999999998</v>
      </c>
      <c r="T64" s="6">
        <f t="shared" si="164"/>
        <v>26.543658000000001</v>
      </c>
      <c r="U64" s="6">
        <f t="shared" si="164"/>
        <v>28.831400000000002</v>
      </c>
      <c r="V64" s="6">
        <f t="shared" si="164"/>
        <v>29.401587999999997</v>
      </c>
      <c r="W64" s="67">
        <f t="shared" ref="W64" si="165">+SUM(J61:J64)+SUM(I65:I72)</f>
        <v>22.215616000000001</v>
      </c>
      <c r="X64" s="37">
        <f t="shared" ref="X64" si="166">+SUM(K61:K64)+SUM(J65:J72)</f>
        <v>27.824397000000001</v>
      </c>
      <c r="Y64" s="78">
        <f t="shared" si="157"/>
        <v>0.25247019934086001</v>
      </c>
      <c r="Z64" s="7">
        <f t="shared" si="158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55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67">+SUM(C61:C65)+SUM(B66:B72)</f>
        <v>15.52308</v>
      </c>
      <c r="Q65" s="6">
        <f t="shared" si="167"/>
        <v>16.870708999999998</v>
      </c>
      <c r="R65" s="6">
        <f t="shared" si="167"/>
        <v>15.812969000000001</v>
      </c>
      <c r="S65" s="6">
        <f t="shared" si="167"/>
        <v>17.152684999999998</v>
      </c>
      <c r="T65" s="6">
        <f t="shared" si="167"/>
        <v>27.516058999999998</v>
      </c>
      <c r="U65" s="6">
        <f t="shared" si="167"/>
        <v>29.339164000000004</v>
      </c>
      <c r="V65" s="6">
        <f t="shared" si="167"/>
        <v>28.882835999999998</v>
      </c>
      <c r="W65" s="67">
        <f t="shared" ref="W65" si="168">+SUM(J61:J65)+SUM(I66:I72)</f>
        <v>22.865506</v>
      </c>
      <c r="X65" s="37">
        <f t="shared" ref="X65" si="169">+SUM(K61:K65)+SUM(J66:J72)</f>
        <v>26.904229999999998</v>
      </c>
      <c r="Y65" s="78">
        <f t="shared" si="157"/>
        <v>0.17662954845608914</v>
      </c>
      <c r="Z65" s="7">
        <f t="shared" si="158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55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70">+SUM(C61:C66)+SUM(B67:B72)</f>
        <v>15.910418</v>
      </c>
      <c r="Q66" s="6">
        <f t="shared" si="170"/>
        <v>16.879504000000001</v>
      </c>
      <c r="R66" s="6">
        <f t="shared" si="170"/>
        <v>15.346774</v>
      </c>
      <c r="S66" s="6">
        <f t="shared" si="170"/>
        <v>18.005304000000002</v>
      </c>
      <c r="T66" s="6">
        <f t="shared" si="170"/>
        <v>27.920746000000001</v>
      </c>
      <c r="U66" s="6">
        <f t="shared" si="170"/>
        <v>28.931497000000004</v>
      </c>
      <c r="V66" s="6">
        <f t="shared" si="170"/>
        <v>29.139667000000003</v>
      </c>
      <c r="W66" s="67">
        <f t="shared" ref="W66" si="171">+SUM(J61:J66)+SUM(I67:I72)</f>
        <v>23.287272000000002</v>
      </c>
      <c r="X66" s="67">
        <f t="shared" ref="X66" si="172">+SUM(K61:K66)+SUM(J67:J72)</f>
        <v>27.188310000000001</v>
      </c>
      <c r="Y66" s="78">
        <f t="shared" si="157"/>
        <v>0.16751803302679669</v>
      </c>
      <c r="Z66" s="7">
        <f t="shared" si="158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/>
      <c r="L67" s="7"/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173">+SUM(C61:C67)+SUM(B68:B72)</f>
        <v>16.255908000000002</v>
      </c>
      <c r="Q67" s="6">
        <f t="shared" si="173"/>
        <v>16.292943000000001</v>
      </c>
      <c r="R67" s="6">
        <f t="shared" si="173"/>
        <v>15.855817000000002</v>
      </c>
      <c r="S67" s="6">
        <f t="shared" si="173"/>
        <v>18.404789000000001</v>
      </c>
      <c r="T67" s="6">
        <f t="shared" si="173"/>
        <v>28.446594000000001</v>
      </c>
      <c r="U67" s="6">
        <f t="shared" si="173"/>
        <v>28.752343000000003</v>
      </c>
      <c r="V67" s="6">
        <f t="shared" si="173"/>
        <v>28.838085</v>
      </c>
      <c r="W67" s="67">
        <f t="shared" ref="W67" si="174">+SUM(J61:J67)+SUM(I68:I72)</f>
        <v>23.980105000000002</v>
      </c>
      <c r="X67" s="67"/>
      <c r="Y67" s="78"/>
      <c r="Z67" s="7"/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/>
      <c r="L68" s="7"/>
      <c r="M68" s="2"/>
      <c r="N68" s="42" t="s">
        <v>5</v>
      </c>
      <c r="O68" s="6">
        <f>+SUM('[1]EXP TOTAL VINO PAIS'!AC167:AC178)/1000000</f>
        <v>12.989144</v>
      </c>
      <c r="P68" s="6">
        <f t="shared" ref="P68:V68" si="175">+SUM(C61:C68)+SUM(B69:B72)</f>
        <v>16.336196999999999</v>
      </c>
      <c r="Q68" s="6">
        <f t="shared" si="175"/>
        <v>16.393826000000004</v>
      </c>
      <c r="R68" s="6">
        <f t="shared" si="175"/>
        <v>15.660647000000001</v>
      </c>
      <c r="S68" s="6">
        <f t="shared" si="175"/>
        <v>19.262042000000001</v>
      </c>
      <c r="T68" s="6">
        <f t="shared" si="175"/>
        <v>28.658654000000002</v>
      </c>
      <c r="U68" s="6">
        <f t="shared" si="175"/>
        <v>29.479441000000001</v>
      </c>
      <c r="V68" s="6">
        <f t="shared" si="175"/>
        <v>27.625576000000002</v>
      </c>
      <c r="W68" s="67">
        <f t="shared" ref="W68" si="176">+SUM(J61:J68)+SUM(I69:I72)</f>
        <v>24.280183999999998</v>
      </c>
      <c r="X68" s="67"/>
      <c r="Y68" s="78"/>
      <c r="Z68" s="7"/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/>
      <c r="L69" s="7"/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177">+SUM(C61:C69)+SUM(B70:B72)</f>
        <v>16.181004999999999</v>
      </c>
      <c r="Q69" s="6">
        <f t="shared" si="177"/>
        <v>15.955893000000001</v>
      </c>
      <c r="R69" s="6">
        <f t="shared" si="177"/>
        <v>16.515093</v>
      </c>
      <c r="S69" s="6">
        <f t="shared" si="177"/>
        <v>20.036049999999999</v>
      </c>
      <c r="T69" s="6">
        <f t="shared" si="177"/>
        <v>29.360279999999999</v>
      </c>
      <c r="U69" s="6">
        <f t="shared" si="177"/>
        <v>28.513259000000001</v>
      </c>
      <c r="V69" s="6">
        <f t="shared" si="177"/>
        <v>27.205835</v>
      </c>
      <c r="W69" s="67">
        <f t="shared" ref="W69" si="178">+SUM(J61:J69)+SUM(I70:I72)</f>
        <v>25.295916999999999</v>
      </c>
      <c r="X69" s="67"/>
      <c r="Y69" s="78"/>
      <c r="Z69" s="7"/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/>
      <c r="L70" s="7"/>
      <c r="M70" s="2"/>
      <c r="N70" s="42" t="s">
        <v>7</v>
      </c>
      <c r="O70" s="6">
        <f>+SUM('[1]EXP TOTAL VINO PAIS'!AC169:AC180)/1000000</f>
        <v>13.860828</v>
      </c>
      <c r="P70" s="6">
        <f t="shared" ref="P70:V70" si="179">+SUM(C61:C70)+SUM(B71:B72)</f>
        <v>16.255326</v>
      </c>
      <c r="Q70" s="6">
        <f t="shared" si="179"/>
        <v>15.715669999999999</v>
      </c>
      <c r="R70" s="6">
        <f t="shared" si="179"/>
        <v>17.048588000000002</v>
      </c>
      <c r="S70" s="6">
        <f t="shared" si="179"/>
        <v>21.512754999999999</v>
      </c>
      <c r="T70" s="6">
        <f t="shared" si="179"/>
        <v>28.589010000000002</v>
      </c>
      <c r="U70" s="6">
        <f t="shared" si="179"/>
        <v>29.239173000000001</v>
      </c>
      <c r="V70" s="6">
        <f t="shared" si="179"/>
        <v>26.307723000000003</v>
      </c>
      <c r="W70" s="67">
        <f t="shared" ref="W70" si="180">+SUM(J61:J70)+SUM(I71:I72)</f>
        <v>25.223707000000001</v>
      </c>
      <c r="X70" s="67"/>
      <c r="Y70" s="78"/>
      <c r="Z70" s="7"/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181">+SUM(C61:C71)+SUM(B72)</f>
        <v>16.248864999999999</v>
      </c>
      <c r="Q71" s="6">
        <f t="shared" si="181"/>
        <v>15.895123999999999</v>
      </c>
      <c r="R71" s="6">
        <f t="shared" si="181"/>
        <v>17.744284</v>
      </c>
      <c r="S71" s="6">
        <f t="shared" si="181"/>
        <v>22.620203999999994</v>
      </c>
      <c r="T71" s="6">
        <f t="shared" si="181"/>
        <v>27.840934000000001</v>
      </c>
      <c r="U71" s="6">
        <f t="shared" si="181"/>
        <v>29.252373000000002</v>
      </c>
      <c r="V71" s="6">
        <f t="shared" si="181"/>
        <v>25.775645000000001</v>
      </c>
      <c r="W71" s="67">
        <f t="shared" ref="W71" si="182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183">+SUM(C61:C72)</f>
        <v>16.302271000000001</v>
      </c>
      <c r="Q72" s="6">
        <f t="shared" si="183"/>
        <v>16.282304</v>
      </c>
      <c r="R72" s="6">
        <f t="shared" si="183"/>
        <v>17.650233</v>
      </c>
      <c r="S72" s="6">
        <f t="shared" si="183"/>
        <v>23.084931999999995</v>
      </c>
      <c r="T72" s="6">
        <f t="shared" si="183"/>
        <v>28.151715000000003</v>
      </c>
      <c r="U72" s="6">
        <f t="shared" si="183"/>
        <v>28.695771000000001</v>
      </c>
      <c r="V72" s="6">
        <f t="shared" si="183"/>
        <v>26.555810000000001</v>
      </c>
      <c r="W72" s="67">
        <f t="shared" ref="W72" si="184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185">SUM(C61:C72)</f>
        <v>16.302271000000001</v>
      </c>
      <c r="D73" s="159">
        <f t="shared" si="185"/>
        <v>16.282304</v>
      </c>
      <c r="E73" s="159">
        <f t="shared" si="185"/>
        <v>17.650233</v>
      </c>
      <c r="F73" s="159">
        <f t="shared" si="185"/>
        <v>23.084931999999995</v>
      </c>
      <c r="G73" s="159">
        <f t="shared" ref="G73:I73" si="186">SUM(G61:G72)</f>
        <v>28.151715000000003</v>
      </c>
      <c r="H73" s="159">
        <f t="shared" si="186"/>
        <v>28.695771000000001</v>
      </c>
      <c r="I73" s="159">
        <f t="shared" si="186"/>
        <v>26.555810000000001</v>
      </c>
      <c r="J73" s="216">
        <f t="shared" ref="J73" si="187">SUM(J61:J72)</f>
        <v>25.344515000000001</v>
      </c>
      <c r="K73" s="216"/>
      <c r="L73" s="56"/>
      <c r="M73" s="3"/>
      <c r="N73" s="43" t="s">
        <v>14</v>
      </c>
      <c r="O73" s="46">
        <f t="shared" ref="O73" si="188">+AVERAGE(O61:O72)</f>
        <v>13.110819416666665</v>
      </c>
      <c r="P73" s="46">
        <f>+AVERAGE(P61:P72)</f>
        <v>15.825816666666666</v>
      </c>
      <c r="Q73" s="46">
        <f t="shared" ref="Q73:X73" si="189">+AVERAGE(Q61:Q72)</f>
        <v>16.431848916666667</v>
      </c>
      <c r="R73" s="46">
        <f t="shared" si="189"/>
        <v>16.244744833333332</v>
      </c>
      <c r="S73" s="46">
        <f t="shared" si="189"/>
        <v>19.215621916666663</v>
      </c>
      <c r="T73" s="46">
        <f t="shared" si="189"/>
        <v>27.216592166666668</v>
      </c>
      <c r="U73" s="46">
        <f t="shared" si="189"/>
        <v>28.814247833333329</v>
      </c>
      <c r="V73" s="46">
        <f t="shared" si="189"/>
        <v>28.185109499999999</v>
      </c>
      <c r="W73" s="68">
        <f t="shared" si="189"/>
        <v>24.355274083333331</v>
      </c>
      <c r="X73" s="47">
        <f t="shared" si="189"/>
        <v>26.521194833333329</v>
      </c>
      <c r="Y73" s="79">
        <f>+X73/W73-1</f>
        <v>8.8930255623038468E-2</v>
      </c>
      <c r="Z73" s="75">
        <f>+POWER(X73/S73,0.2)-1</f>
        <v>6.6565982984043703E-2</v>
      </c>
    </row>
    <row r="74" spans="1:26" ht="25.5" x14ac:dyDescent="0.25">
      <c r="A74" s="57" t="s">
        <v>15</v>
      </c>
      <c r="B74" s="58">
        <f t="shared" ref="B74:G74" si="190">+B73/B$181</f>
        <v>5.621026713890151E-2</v>
      </c>
      <c r="C74" s="58">
        <f t="shared" si="190"/>
        <v>7.2635670802772057E-2</v>
      </c>
      <c r="D74" s="58">
        <f t="shared" si="190"/>
        <v>5.9354064351516182E-2</v>
      </c>
      <c r="E74" s="58">
        <f t="shared" si="190"/>
        <v>5.7896063125255082E-2</v>
      </c>
      <c r="F74" s="58">
        <f t="shared" si="190"/>
        <v>5.9061593884130771E-2</v>
      </c>
      <c r="G74" s="58">
        <f t="shared" si="190"/>
        <v>9.7439203146922157E-2</v>
      </c>
      <c r="H74" s="58">
        <f t="shared" ref="H74" si="191">+H73/H$181</f>
        <v>0.11627649982980408</v>
      </c>
      <c r="I74" s="58">
        <f t="shared" ref="I74:J74" si="192">+I73/I$360</f>
        <v>4.0717467268325369E-2</v>
      </c>
      <c r="J74" s="189">
        <f t="shared" si="192"/>
        <v>3.7204869240988536E-2</v>
      </c>
      <c r="K74" s="234"/>
      <c r="L74" s="59"/>
      <c r="M74" s="3"/>
      <c r="N74" s="44" t="s">
        <v>15</v>
      </c>
      <c r="O74" s="48">
        <f t="shared" ref="O74:X74" si="193">+O73/O$181</f>
        <v>5.0634904053561858E-2</v>
      </c>
      <c r="P74" s="48">
        <f t="shared" si="193"/>
        <v>6.5788674273004305E-2</v>
      </c>
      <c r="Q74" s="48">
        <f t="shared" si="193"/>
        <v>6.9729416117043252E-2</v>
      </c>
      <c r="R74" s="48">
        <f t="shared" si="193"/>
        <v>5.4830090013326498E-2</v>
      </c>
      <c r="S74" s="48">
        <f t="shared" si="193"/>
        <v>5.1585583669076326E-2</v>
      </c>
      <c r="T74" s="48">
        <f t="shared" si="193"/>
        <v>8.3924148644208135E-2</v>
      </c>
      <c r="U74" s="48">
        <f t="shared" si="193"/>
        <v>0.10647367631189615</v>
      </c>
      <c r="V74" s="48">
        <f t="shared" si="193"/>
        <v>0.13431492047441901</v>
      </c>
      <c r="W74" s="69">
        <f t="shared" si="193"/>
        <v>0.13060979334771283</v>
      </c>
      <c r="X74" s="72">
        <f t="shared" si="193"/>
        <v>0.13598535796964692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194">+D73/C73-1</f>
        <v>-1.2247986798895605E-3</v>
      </c>
      <c r="E75" s="62">
        <f t="shared" si="194"/>
        <v>8.4013233016654087E-2</v>
      </c>
      <c r="F75" s="62">
        <f t="shared" si="194"/>
        <v>0.30791089273439032</v>
      </c>
      <c r="G75" s="62">
        <f t="shared" si="194"/>
        <v>0.21948442386574962</v>
      </c>
      <c r="H75" s="62">
        <f t="shared" si="194"/>
        <v>1.9325856346584791E-2</v>
      </c>
      <c r="I75" s="62">
        <f t="shared" si="194"/>
        <v>-7.4574089680322531E-2</v>
      </c>
      <c r="J75" s="190">
        <f t="shared" si="194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195">+Q73/P73-1</f>
        <v>3.8293900578063811E-2</v>
      </c>
      <c r="R75" s="50">
        <f t="shared" ref="R75" si="196">+R73/Q73-1</f>
        <v>-1.1386672569972167E-2</v>
      </c>
      <c r="S75" s="50">
        <f t="shared" ref="S75" si="197">+S73/R73-1</f>
        <v>0.1828823483418005</v>
      </c>
      <c r="T75" s="50">
        <f t="shared" ref="T75" si="198">+T73/S73-1</f>
        <v>0.41637841776332851</v>
      </c>
      <c r="U75" s="50">
        <f t="shared" ref="U75" si="199">+U73/T73-1</f>
        <v>5.8701532391824518E-2</v>
      </c>
      <c r="V75" s="50">
        <f t="shared" ref="V75" si="200">+V73/U73-1</f>
        <v>-2.1834279241727095E-2</v>
      </c>
      <c r="W75" s="70">
        <f t="shared" ref="W75" si="201">+W73/V73-1</f>
        <v>-0.13588151632572754</v>
      </c>
      <c r="X75" s="73">
        <f t="shared" ref="X75" si="202">+X73/W73-1</f>
        <v>8.8930255623038468E-2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110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111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03">+C78+1</f>
        <v>2018</v>
      </c>
      <c r="E78" s="39">
        <f t="shared" si="203"/>
        <v>2019</v>
      </c>
      <c r="F78" s="39">
        <f t="shared" si="203"/>
        <v>2020</v>
      </c>
      <c r="G78" s="39">
        <f t="shared" si="203"/>
        <v>2021</v>
      </c>
      <c r="H78" s="39">
        <f t="shared" si="203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04">+P78+1</f>
        <v>2018</v>
      </c>
      <c r="R78" s="64">
        <f t="shared" ref="R78" si="205">+Q78+1</f>
        <v>2019</v>
      </c>
      <c r="S78" s="64">
        <f t="shared" ref="S78" si="206">+R78+1</f>
        <v>2020</v>
      </c>
      <c r="T78" s="64">
        <f t="shared" ref="T78" si="207">+S78+1</f>
        <v>2021</v>
      </c>
      <c r="U78" s="64">
        <f t="shared" ref="U78" si="208">+T78+1</f>
        <v>2022</v>
      </c>
      <c r="V78" s="64">
        <f t="shared" ref="V78" si="209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10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11">+SUM(C79)+SUM(B80:B90)</f>
        <v>11.064861999999998</v>
      </c>
      <c r="Q79" s="6">
        <f t="shared" si="211"/>
        <v>8.6534759999999995</v>
      </c>
      <c r="R79" s="6">
        <f t="shared" si="211"/>
        <v>7.403308</v>
      </c>
      <c r="S79" s="6">
        <f t="shared" si="211"/>
        <v>6.9718619999999998</v>
      </c>
      <c r="T79" s="6">
        <f t="shared" si="211"/>
        <v>8.1687639999999995</v>
      </c>
      <c r="U79" s="6">
        <f t="shared" si="211"/>
        <v>6.8351989999999994</v>
      </c>
      <c r="V79" s="6">
        <f t="shared" si="211"/>
        <v>7.0042270000000002</v>
      </c>
      <c r="W79" s="67">
        <f t="shared" si="211"/>
        <v>5.049582</v>
      </c>
      <c r="X79" s="37">
        <f t="shared" si="211"/>
        <v>5.6588569999999994</v>
      </c>
      <c r="Y79" s="78">
        <f t="shared" ref="Y79:Y84" si="212">+X79/W79-1</f>
        <v>0.12065850203046491</v>
      </c>
      <c r="Z79" s="7">
        <f t="shared" ref="Z79:Z84" si="213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10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14">+SUM(C79:C80)+SUM(B81:B90)</f>
        <v>10.927121</v>
      </c>
      <c r="Q80" s="6">
        <f t="shared" si="214"/>
        <v>8.7256590000000003</v>
      </c>
      <c r="R80" s="6">
        <f t="shared" si="214"/>
        <v>7.2372029999999992</v>
      </c>
      <c r="S80" s="6">
        <f t="shared" si="214"/>
        <v>7.0728619999999989</v>
      </c>
      <c r="T80" s="6">
        <f t="shared" si="214"/>
        <v>8.2437839999999998</v>
      </c>
      <c r="U80" s="6">
        <f t="shared" si="214"/>
        <v>6.7305650000000004</v>
      </c>
      <c r="V80" s="6">
        <f t="shared" si="214"/>
        <v>6.7565390000000001</v>
      </c>
      <c r="W80" s="67">
        <f t="shared" ref="W80" si="215">+SUM(J79:J80)+SUM(I81:I90)</f>
        <v>5.2145510000000002</v>
      </c>
      <c r="X80" s="67">
        <f t="shared" ref="X80" si="216">+SUM(K79:K80)+SUM(J81:J90)</f>
        <v>5.5439990000000003</v>
      </c>
      <c r="Y80" s="78">
        <f t="shared" si="212"/>
        <v>6.3178593900030888E-2</v>
      </c>
      <c r="Z80" s="7">
        <f t="shared" si="213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10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17">+SUM(C79:C81)+SUM(B82:B90)</f>
        <v>10.805010000000001</v>
      </c>
      <c r="Q81" s="6">
        <f t="shared" si="217"/>
        <v>8.3452780000000004</v>
      </c>
      <c r="R81" s="6">
        <f t="shared" si="217"/>
        <v>7.4191139999999987</v>
      </c>
      <c r="S81" s="6">
        <f t="shared" si="217"/>
        <v>6.9434479999999992</v>
      </c>
      <c r="T81" s="6">
        <f t="shared" si="217"/>
        <v>8.4110200000000006</v>
      </c>
      <c r="U81" s="6">
        <f t="shared" si="217"/>
        <v>6.3880810000000006</v>
      </c>
      <c r="V81" s="6">
        <f t="shared" si="217"/>
        <v>6.9092389999999995</v>
      </c>
      <c r="W81" s="67">
        <f t="shared" si="217"/>
        <v>5.3590900000000001</v>
      </c>
      <c r="X81" s="67">
        <f t="shared" ref="X81" si="218">+SUM(K79:K81)+SUM(J82:J90)</f>
        <v>5.2533189999999994</v>
      </c>
      <c r="Y81" s="78">
        <f t="shared" si="212"/>
        <v>-1.9736746350593193E-2</v>
      </c>
      <c r="Z81" s="7">
        <f t="shared" si="213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10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19">+SUM(C79:C82)+SUM(B83:B90)</f>
        <v>10.371293</v>
      </c>
      <c r="Q82" s="6">
        <f t="shared" si="219"/>
        <v>8.3273290000000006</v>
      </c>
      <c r="R82" s="6">
        <f t="shared" si="219"/>
        <v>7.1415439999999997</v>
      </c>
      <c r="S82" s="6">
        <f t="shared" si="219"/>
        <v>7.0519639999999999</v>
      </c>
      <c r="T82" s="6">
        <f t="shared" si="219"/>
        <v>8.4507490000000001</v>
      </c>
      <c r="U82" s="6">
        <f t="shared" si="219"/>
        <v>6.5469000000000008</v>
      </c>
      <c r="V82" s="6">
        <f t="shared" si="219"/>
        <v>6.422784</v>
      </c>
      <c r="W82" s="67">
        <f t="shared" ref="W82" si="220">+SUM(J79:J82)+SUM(I83:I90)</f>
        <v>5.438072</v>
      </c>
      <c r="X82" s="37">
        <f t="shared" ref="X82" si="221">+SUM(K79:K82)+SUM(J83:J90)</f>
        <v>5.2912359999999996</v>
      </c>
      <c r="Y82" s="78">
        <f t="shared" si="212"/>
        <v>-2.7001481407381234E-2</v>
      </c>
      <c r="Z82" s="7">
        <f t="shared" si="213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10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22">+SUM(C79:C83)+SUM(B84:B90)</f>
        <v>10.147733000000001</v>
      </c>
      <c r="Q83" s="6">
        <f t="shared" si="222"/>
        <v>8.1328440000000004</v>
      </c>
      <c r="R83" s="6">
        <f t="shared" si="222"/>
        <v>7.28186</v>
      </c>
      <c r="S83" s="6">
        <f t="shared" si="222"/>
        <v>7.3629149999999992</v>
      </c>
      <c r="T83" s="6">
        <f t="shared" si="222"/>
        <v>8.3305530000000001</v>
      </c>
      <c r="U83" s="6">
        <f t="shared" si="222"/>
        <v>6.3753810000000009</v>
      </c>
      <c r="V83" s="6">
        <f t="shared" si="222"/>
        <v>6.2974899999999998</v>
      </c>
      <c r="W83" s="67">
        <f t="shared" ref="W83" si="223">+SUM(J79:J83)+SUM(I84:I90)</f>
        <v>5.6510949999999998</v>
      </c>
      <c r="X83" s="37">
        <f t="shared" ref="X83" si="224">+SUM(K79:K83)+SUM(J84:J90)</f>
        <v>5.1595490000000002</v>
      </c>
      <c r="Y83" s="78">
        <f t="shared" si="212"/>
        <v>-8.6982434377762097E-2</v>
      </c>
      <c r="Z83" s="7">
        <f t="shared" si="213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10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25">+SUM(C79:C84)+SUM(B85:B90)</f>
        <v>10.287271</v>
      </c>
      <c r="Q84" s="6">
        <f t="shared" si="225"/>
        <v>7.7154389999999999</v>
      </c>
      <c r="R84" s="6">
        <f t="shared" si="225"/>
        <v>7.2936429999999994</v>
      </c>
      <c r="S84" s="6">
        <f t="shared" si="225"/>
        <v>7.726216</v>
      </c>
      <c r="T84" s="6">
        <f t="shared" si="225"/>
        <v>7.7901710000000008</v>
      </c>
      <c r="U84" s="6">
        <f t="shared" si="225"/>
        <v>6.8763100000000001</v>
      </c>
      <c r="V84" s="6">
        <f t="shared" si="225"/>
        <v>5.9215699999999991</v>
      </c>
      <c r="W84" s="67">
        <f t="shared" ref="W84" si="226">+SUM(J79:J84)+SUM(I85:I90)</f>
        <v>5.5532360000000001</v>
      </c>
      <c r="X84" s="67">
        <f t="shared" ref="X84" si="227">+SUM(K79:K84)+SUM(J85:J90)</f>
        <v>5.1371889999999993</v>
      </c>
      <c r="Y84" s="78">
        <f t="shared" si="212"/>
        <v>-7.4919740490049569E-2</v>
      </c>
      <c r="Z84" s="7">
        <f t="shared" si="213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/>
      <c r="L85" s="7"/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28">+SUM(C79:C85)+SUM(B86:B90)</f>
        <v>9.9854570000000002</v>
      </c>
      <c r="Q85" s="6">
        <f t="shared" si="228"/>
        <v>7.6763570000000003</v>
      </c>
      <c r="R85" s="6">
        <f t="shared" si="228"/>
        <v>7.2312589999999997</v>
      </c>
      <c r="S85" s="6">
        <f t="shared" si="228"/>
        <v>7.8886130000000003</v>
      </c>
      <c r="T85" s="6">
        <f t="shared" si="228"/>
        <v>7.732107000000001</v>
      </c>
      <c r="U85" s="6">
        <f t="shared" si="228"/>
        <v>6.548737</v>
      </c>
      <c r="V85" s="6">
        <f t="shared" si="228"/>
        <v>5.898676</v>
      </c>
      <c r="W85" s="67">
        <f t="shared" ref="W85" si="229">+SUM(J79:J85)+SUM(I86:I90)</f>
        <v>5.9467650000000001</v>
      </c>
      <c r="X85" s="67"/>
      <c r="Y85" s="78"/>
      <c r="Z85" s="7"/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/>
      <c r="L86" s="7"/>
      <c r="M86" s="2"/>
      <c r="N86" s="42" t="s">
        <v>5</v>
      </c>
      <c r="O86" s="6">
        <f>+SUM('[1]EXP TOTAL VINO PAIS'!AD167:AD178)/1000000</f>
        <v>10.541831</v>
      </c>
      <c r="P86" s="6">
        <f t="shared" ref="P86:V86" si="230">+SUM(C79:C86)+SUM(B87:B90)</f>
        <v>9.8166740000000008</v>
      </c>
      <c r="Q86" s="6">
        <f t="shared" si="230"/>
        <v>7.5276130000000006</v>
      </c>
      <c r="R86" s="6">
        <f t="shared" si="230"/>
        <v>7.3040969999999996</v>
      </c>
      <c r="S86" s="6">
        <f t="shared" si="230"/>
        <v>8.3746770000000001</v>
      </c>
      <c r="T86" s="6">
        <f t="shared" si="230"/>
        <v>7.1598780000000009</v>
      </c>
      <c r="U86" s="6">
        <f t="shared" si="230"/>
        <v>6.7133840000000005</v>
      </c>
      <c r="V86" s="6">
        <f t="shared" si="230"/>
        <v>5.7279689999999999</v>
      </c>
      <c r="W86" s="67">
        <f t="shared" ref="W86" si="231">+SUM(J79:J86)+SUM(I87:I90)</f>
        <v>5.838686</v>
      </c>
      <c r="X86" s="67"/>
      <c r="Y86" s="78"/>
      <c r="Z86" s="7"/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/>
      <c r="L87" s="7"/>
      <c r="M87" s="2"/>
      <c r="N87" s="42" t="s">
        <v>6</v>
      </c>
      <c r="O87" s="6">
        <f>+SUM('[1]EXP TOTAL VINO PAIS'!AD168:AD179)/1000000</f>
        <v>10.997249</v>
      </c>
      <c r="P87" s="6">
        <f t="shared" ref="P87:V87" si="232">+SUM(C79:C87)+SUM(B88:B90)</f>
        <v>9.4984269999999995</v>
      </c>
      <c r="Q87" s="6">
        <f t="shared" si="232"/>
        <v>7.3433279999999996</v>
      </c>
      <c r="R87" s="6">
        <f t="shared" si="232"/>
        <v>7.2016590000000003</v>
      </c>
      <c r="S87" s="6">
        <f t="shared" si="232"/>
        <v>8.6998059999999988</v>
      </c>
      <c r="T87" s="6">
        <f t="shared" si="232"/>
        <v>6.8126750000000005</v>
      </c>
      <c r="U87" s="6">
        <f t="shared" si="232"/>
        <v>7.0118299999999998</v>
      </c>
      <c r="V87" s="6">
        <f t="shared" si="232"/>
        <v>5.6272140000000004</v>
      </c>
      <c r="W87" s="67">
        <f t="shared" ref="W87" si="233">+SUM(J79:J87)+SUM(I88:I90)</f>
        <v>5.427168</v>
      </c>
      <c r="X87" s="67"/>
      <c r="Y87" s="78"/>
      <c r="Z87" s="7"/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/>
      <c r="L88" s="7"/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34">+SUM(C79:C88)+SUM(B89:B90)</f>
        <v>9.2416669999999996</v>
      </c>
      <c r="Q88" s="6">
        <f t="shared" si="234"/>
        <v>7.2402930000000003</v>
      </c>
      <c r="R88" s="6">
        <f t="shared" si="234"/>
        <v>7.1269420000000006</v>
      </c>
      <c r="S88" s="6">
        <f t="shared" si="234"/>
        <v>8.5743919999999996</v>
      </c>
      <c r="T88" s="6">
        <f t="shared" si="234"/>
        <v>6.5485650000000009</v>
      </c>
      <c r="U88" s="6">
        <f t="shared" si="234"/>
        <v>7.407915</v>
      </c>
      <c r="V88" s="6">
        <f t="shared" si="234"/>
        <v>5.2189510000000006</v>
      </c>
      <c r="W88" s="67">
        <f t="shared" ref="W88" si="235">+SUM(J79:J88)+SUM(I89:I90)</f>
        <v>5.7030529999999997</v>
      </c>
      <c r="X88" s="67"/>
      <c r="Y88" s="78"/>
      <c r="Z88" s="7"/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36">+SUM(C79:C89)+SUM(B90)</f>
        <v>8.6873930000000001</v>
      </c>
      <c r="Q89" s="6">
        <f t="shared" si="236"/>
        <v>7.5027190000000008</v>
      </c>
      <c r="R89" s="6">
        <f t="shared" si="236"/>
        <v>6.8169849999999999</v>
      </c>
      <c r="S89" s="6">
        <f t="shared" si="236"/>
        <v>8.772926</v>
      </c>
      <c r="T89" s="6">
        <f t="shared" si="236"/>
        <v>6.4887840000000008</v>
      </c>
      <c r="U89" s="6">
        <f t="shared" si="236"/>
        <v>7.2284509999999997</v>
      </c>
      <c r="V89" s="6">
        <f t="shared" si="236"/>
        <v>5.3183410000000002</v>
      </c>
      <c r="W89" s="67">
        <f t="shared" ref="W89" si="237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38">+SUM(C79:C90)</f>
        <v>8.4700950000000006</v>
      </c>
      <c r="Q90" s="6">
        <f t="shared" si="238"/>
        <v>7.8241690000000004</v>
      </c>
      <c r="R90" s="6">
        <f t="shared" si="238"/>
        <v>6.9015409999999999</v>
      </c>
      <c r="S90" s="6">
        <f t="shared" si="238"/>
        <v>8.4574020000000001</v>
      </c>
      <c r="T90" s="6">
        <f t="shared" si="238"/>
        <v>6.5491940000000008</v>
      </c>
      <c r="U90" s="6">
        <f t="shared" si="238"/>
        <v>7.0695689999999995</v>
      </c>
      <c r="V90" s="6">
        <f t="shared" si="238"/>
        <v>5.2291460000000001</v>
      </c>
      <c r="W90" s="67">
        <f t="shared" ref="W90" si="239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40">SUM(B79:B90)</f>
        <v>10.887117999999999</v>
      </c>
      <c r="C91" s="159">
        <f t="shared" si="240"/>
        <v>8.4700950000000006</v>
      </c>
      <c r="D91" s="159">
        <f t="shared" si="240"/>
        <v>7.8241690000000004</v>
      </c>
      <c r="E91" s="159">
        <f t="shared" si="240"/>
        <v>6.9015409999999999</v>
      </c>
      <c r="F91" s="159">
        <f t="shared" si="240"/>
        <v>8.4574020000000001</v>
      </c>
      <c r="G91" s="159">
        <f t="shared" si="240"/>
        <v>6.5491940000000008</v>
      </c>
      <c r="H91" s="159">
        <f t="shared" ref="H91:I91" si="241">SUM(H79:H90)</f>
        <v>7.0695689999999995</v>
      </c>
      <c r="I91" s="159">
        <f t="shared" si="241"/>
        <v>5.2291460000000001</v>
      </c>
      <c r="J91" s="216">
        <f t="shared" ref="J91" si="242">SUM(J79:J90)</f>
        <v>5.6482899999999994</v>
      </c>
      <c r="K91" s="216"/>
      <c r="L91" s="56"/>
      <c r="M91" s="3"/>
      <c r="N91" s="43" t="s">
        <v>14</v>
      </c>
      <c r="O91" s="46">
        <f t="shared" ref="O91" si="243">+AVERAGE(O79:O90)</f>
        <v>11.094207499999998</v>
      </c>
      <c r="P91" s="46">
        <f>+AVERAGE(P79:P90)</f>
        <v>9.9419169166666688</v>
      </c>
      <c r="Q91" s="46">
        <f t="shared" ref="Q91:X91" si="244">+AVERAGE(Q79:Q90)</f>
        <v>7.917875333333332</v>
      </c>
      <c r="R91" s="46">
        <f t="shared" si="244"/>
        <v>7.1965962499999989</v>
      </c>
      <c r="S91" s="46">
        <f t="shared" si="244"/>
        <v>7.824756916666666</v>
      </c>
      <c r="T91" s="46">
        <f t="shared" si="244"/>
        <v>7.5571869999999999</v>
      </c>
      <c r="U91" s="46">
        <f t="shared" si="244"/>
        <v>6.8110268333333339</v>
      </c>
      <c r="V91" s="46">
        <f t="shared" si="244"/>
        <v>6.0276788333333338</v>
      </c>
      <c r="W91" s="68">
        <f t="shared" si="244"/>
        <v>5.5327678333333337</v>
      </c>
      <c r="X91" s="47">
        <f t="shared" si="244"/>
        <v>5.3406914999999993</v>
      </c>
      <c r="Y91" s="79">
        <f>+X91/W91-1</f>
        <v>-3.4716138308954481E-2</v>
      </c>
      <c r="Z91" s="75">
        <f>+POWER(X91/S91,0.2)-1</f>
        <v>-7.3542871077297067E-2</v>
      </c>
    </row>
    <row r="92" spans="1:27" ht="25.5" x14ac:dyDescent="0.25">
      <c r="A92" s="57" t="s">
        <v>15</v>
      </c>
      <c r="B92" s="58">
        <f t="shared" ref="B92:G92" si="245">+B91/B$181</f>
        <v>4.1993371776632857E-2</v>
      </c>
      <c r="C92" s="58">
        <f t="shared" si="245"/>
        <v>3.7738977108662072E-2</v>
      </c>
      <c r="D92" s="58">
        <f t="shared" si="245"/>
        <v>2.852153051086247E-2</v>
      </c>
      <c r="E92" s="58">
        <f t="shared" si="245"/>
        <v>2.2638344400186448E-2</v>
      </c>
      <c r="F92" s="58">
        <f t="shared" si="245"/>
        <v>2.163782168554083E-2</v>
      </c>
      <c r="G92" s="58">
        <f t="shared" si="245"/>
        <v>2.2668183612067818E-2</v>
      </c>
      <c r="H92" s="58">
        <f t="shared" ref="H92" si="246">+H91/H$181</f>
        <v>2.8646198027761239E-2</v>
      </c>
      <c r="I92" s="58">
        <f t="shared" ref="I92:J92" si="247">+I91/I$360</f>
        <v>8.0177400386692976E-3</v>
      </c>
      <c r="J92" s="189">
        <f t="shared" si="247"/>
        <v>8.2914938749146742E-3</v>
      </c>
      <c r="K92" s="234"/>
      <c r="L92" s="59"/>
      <c r="M92" s="3"/>
      <c r="N92" s="44" t="s">
        <v>15</v>
      </c>
      <c r="O92" s="48">
        <f t="shared" ref="O92:X92" si="248">+O91/O$181</f>
        <v>4.2846607405689394E-2</v>
      </c>
      <c r="P92" s="48">
        <f t="shared" si="248"/>
        <v>4.1329022536795143E-2</v>
      </c>
      <c r="Q92" s="48">
        <f t="shared" si="248"/>
        <v>3.3599920902441703E-2</v>
      </c>
      <c r="R92" s="48">
        <f t="shared" si="248"/>
        <v>2.4290318144449433E-2</v>
      </c>
      <c r="S92" s="48">
        <f t="shared" si="248"/>
        <v>2.1006067582168182E-2</v>
      </c>
      <c r="T92" s="48">
        <f t="shared" si="248"/>
        <v>2.3303082224116461E-2</v>
      </c>
      <c r="U92" s="48">
        <f t="shared" si="248"/>
        <v>2.5167933259914611E-2</v>
      </c>
      <c r="V92" s="48">
        <f t="shared" si="248"/>
        <v>2.872464281696353E-2</v>
      </c>
      <c r="W92" s="69">
        <f t="shared" si="248"/>
        <v>2.9670520679832887E-2</v>
      </c>
      <c r="X92" s="72">
        <f t="shared" si="248"/>
        <v>2.7383979115456415E-2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49">+D91/C91-1</f>
        <v>-7.6259593310346596E-2</v>
      </c>
      <c r="E93" s="62">
        <f t="shared" si="249"/>
        <v>-0.11792025453437938</v>
      </c>
      <c r="F93" s="62">
        <f t="shared" si="249"/>
        <v>0.22543675390756945</v>
      </c>
      <c r="G93" s="62">
        <f t="shared" si="249"/>
        <v>-0.22562578910166498</v>
      </c>
      <c r="H93" s="62">
        <f t="shared" si="249"/>
        <v>7.9456342261352786E-2</v>
      </c>
      <c r="I93" s="62">
        <f t="shared" si="249"/>
        <v>-0.26033029736324798</v>
      </c>
      <c r="J93" s="190">
        <f t="shared" si="249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50">+Q91/P91-1</f>
        <v>-0.20358665238292484</v>
      </c>
      <c r="R93" s="50">
        <f t="shared" ref="R93" si="251">+R91/Q91-1</f>
        <v>-9.1095029028410268E-2</v>
      </c>
      <c r="S93" s="50">
        <f t="shared" ref="S93" si="252">+S91/R91-1</f>
        <v>8.7285800793210688E-2</v>
      </c>
      <c r="T93" s="50">
        <f t="shared" ref="T93" si="253">+T91/S91-1</f>
        <v>-3.4195300827396191E-2</v>
      </c>
      <c r="U93" s="50">
        <f t="shared" ref="U93" si="254">+U91/T91-1</f>
        <v>-9.8735173109606222E-2</v>
      </c>
      <c r="V93" s="50">
        <f t="shared" ref="V93" si="255">+V91/U91-1</f>
        <v>-0.11501173305708845</v>
      </c>
      <c r="W93" s="70">
        <f t="shared" ref="W93" si="256">+W91/V91-1</f>
        <v>-8.2106398446964435E-2</v>
      </c>
      <c r="X93" s="73">
        <f t="shared" ref="X93" si="257">+X91/W91-1</f>
        <v>-3.4716138308954481E-2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129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130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258">+C96+1</f>
        <v>2018</v>
      </c>
      <c r="E96" s="39">
        <f t="shared" ref="E96" si="259">+D96+1</f>
        <v>2019</v>
      </c>
      <c r="F96" s="39">
        <f t="shared" ref="F96" si="260">+E96+1</f>
        <v>2020</v>
      </c>
      <c r="G96" s="39">
        <f t="shared" ref="G96:H96" si="261">+F96+1</f>
        <v>2021</v>
      </c>
      <c r="H96" s="39">
        <f t="shared" si="261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262">+P96+1</f>
        <v>2018</v>
      </c>
      <c r="R96" s="64">
        <f t="shared" ref="R96" si="263">+Q96+1</f>
        <v>2019</v>
      </c>
      <c r="S96" s="64">
        <f t="shared" ref="S96" si="264">+R96+1</f>
        <v>2020</v>
      </c>
      <c r="T96" s="64">
        <f t="shared" ref="T96" si="265">+S96+1</f>
        <v>2021</v>
      </c>
      <c r="U96" s="64">
        <f t="shared" ref="U96" si="266">+T96+1</f>
        <v>2022</v>
      </c>
      <c r="V96" s="64">
        <f t="shared" ref="V96" si="267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268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269">+SUM(C97)+SUM(B98:B108)</f>
        <v>5.6750400000000001</v>
      </c>
      <c r="Q97" s="6">
        <f t="shared" si="269"/>
        <v>4.9161209999999995</v>
      </c>
      <c r="R97" s="6">
        <f t="shared" si="269"/>
        <v>4.791353</v>
      </c>
      <c r="S97" s="6">
        <f t="shared" si="269"/>
        <v>19.777701</v>
      </c>
      <c r="T97" s="6">
        <f t="shared" si="269"/>
        <v>31.117549999999998</v>
      </c>
      <c r="U97" s="6">
        <f t="shared" si="269"/>
        <v>9.6322840000000003</v>
      </c>
      <c r="V97" s="6">
        <f t="shared" si="269"/>
        <v>2.9943390000000001</v>
      </c>
      <c r="W97" s="67">
        <f t="shared" si="269"/>
        <v>2.2042139999999999</v>
      </c>
      <c r="X97" s="37">
        <f t="shared" si="269"/>
        <v>1.4819590000000002</v>
      </c>
      <c r="Y97" s="78">
        <f t="shared" ref="Y97:Y102" si="270">+X97/W97-1</f>
        <v>-0.32767009010921788</v>
      </c>
      <c r="Z97" s="7">
        <f t="shared" ref="Z97:Z102" si="271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268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272">+SUM(C97:C98)+SUM(B99:B108)</f>
        <v>5.5822219999999998</v>
      </c>
      <c r="Q98" s="6">
        <f t="shared" si="272"/>
        <v>4.9698029999999997</v>
      </c>
      <c r="R98" s="6">
        <f t="shared" si="272"/>
        <v>4.687424</v>
      </c>
      <c r="S98" s="6">
        <f t="shared" si="272"/>
        <v>21.337021</v>
      </c>
      <c r="T98" s="6">
        <f t="shared" si="272"/>
        <v>30.628175999999996</v>
      </c>
      <c r="U98" s="6">
        <f t="shared" si="272"/>
        <v>8.6110559999999996</v>
      </c>
      <c r="V98" s="6">
        <f t="shared" si="272"/>
        <v>2.8628369999999999</v>
      </c>
      <c r="W98" s="67">
        <f t="shared" ref="W98" si="273">+SUM(J97:J98)+SUM(I99:I108)</f>
        <v>2.21306</v>
      </c>
      <c r="X98" s="67">
        <f t="shared" ref="X98" si="274">+SUM(K97:K98)+SUM(J99:J108)</f>
        <v>1.455022</v>
      </c>
      <c r="Y98" s="78">
        <f t="shared" si="270"/>
        <v>-0.3425293485038815</v>
      </c>
      <c r="Z98" s="7">
        <f t="shared" si="271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268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275">+SUM(C97:C99)+SUM(B100:B108)</f>
        <v>5.5405129999999998</v>
      </c>
      <c r="Q99" s="6">
        <f t="shared" si="275"/>
        <v>5.1672849999999997</v>
      </c>
      <c r="R99" s="6">
        <f t="shared" si="275"/>
        <v>4.5129969999999995</v>
      </c>
      <c r="S99" s="6">
        <f t="shared" si="275"/>
        <v>21.194238000000002</v>
      </c>
      <c r="T99" s="6">
        <f t="shared" si="275"/>
        <v>32.619371999999998</v>
      </c>
      <c r="U99" s="6">
        <f t="shared" si="275"/>
        <v>6.7369669999999999</v>
      </c>
      <c r="V99" s="6">
        <f t="shared" si="275"/>
        <v>2.815814</v>
      </c>
      <c r="W99" s="67">
        <f t="shared" si="275"/>
        <v>2.0806249999999999</v>
      </c>
      <c r="X99" s="67">
        <f t="shared" ref="X99" si="276">+SUM(K97:K99)+SUM(J100:J108)</f>
        <v>1.4776330000000002</v>
      </c>
      <c r="Y99" s="78">
        <f t="shared" si="270"/>
        <v>-0.2898129167918293</v>
      </c>
      <c r="Z99" s="7">
        <f t="shared" si="271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268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277">+SUM(C97:C100)+SUM(B101:B108)</f>
        <v>5.4939830000000001</v>
      </c>
      <c r="Q100" s="6">
        <f t="shared" si="277"/>
        <v>5.1112970000000004</v>
      </c>
      <c r="R100" s="6">
        <f t="shared" si="277"/>
        <v>4.4539840000000002</v>
      </c>
      <c r="S100" s="6">
        <f t="shared" si="277"/>
        <v>25.335936</v>
      </c>
      <c r="T100" s="6">
        <f t="shared" si="277"/>
        <v>28.427854999999997</v>
      </c>
      <c r="U100" s="6">
        <f t="shared" si="277"/>
        <v>6.7240789999999997</v>
      </c>
      <c r="V100" s="6">
        <f t="shared" si="277"/>
        <v>2.791423</v>
      </c>
      <c r="W100" s="67">
        <f t="shared" ref="W100" si="278">+SUM(J97:J100)+SUM(I101:I108)</f>
        <v>2.0132279999999998</v>
      </c>
      <c r="X100" s="37">
        <f t="shared" ref="X100" si="279">+SUM(K97:K100)+SUM(J101:J108)</f>
        <v>1.4381759999999999</v>
      </c>
      <c r="Y100" s="78">
        <f t="shared" si="270"/>
        <v>-0.28563679821659538</v>
      </c>
      <c r="Z100" s="7">
        <f t="shared" si="271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268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280">+SUM(C97:C101)+SUM(B102:B108)</f>
        <v>5.3864609999999997</v>
      </c>
      <c r="Q101" s="6">
        <f t="shared" si="280"/>
        <v>5.0037650000000005</v>
      </c>
      <c r="R101" s="6">
        <f t="shared" si="280"/>
        <v>4.6302789999999998</v>
      </c>
      <c r="S101" s="6">
        <f t="shared" si="280"/>
        <v>28.860624000000001</v>
      </c>
      <c r="T101" s="6">
        <f t="shared" si="280"/>
        <v>24.831753999999997</v>
      </c>
      <c r="U101" s="6">
        <f t="shared" si="280"/>
        <v>6.5741829999999997</v>
      </c>
      <c r="V101" s="6">
        <f t="shared" si="280"/>
        <v>2.6852080000000003</v>
      </c>
      <c r="W101" s="67">
        <f t="shared" ref="W101" si="281">+SUM(J97:J101)+SUM(I102:I108)</f>
        <v>2.0299750000000003</v>
      </c>
      <c r="X101" s="37">
        <f t="shared" ref="X101" si="282">+SUM(K97:K101)+SUM(J102:J108)</f>
        <v>1.334068</v>
      </c>
      <c r="Y101" s="78">
        <f t="shared" si="270"/>
        <v>-0.34281555191566404</v>
      </c>
      <c r="Z101" s="7">
        <f t="shared" si="271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268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283">+SUM(C97:C102)+SUM(B103:B108)</f>
        <v>5.3951010000000004</v>
      </c>
      <c r="Q102" s="6">
        <f t="shared" si="283"/>
        <v>4.8849610000000006</v>
      </c>
      <c r="R102" s="6">
        <f t="shared" si="283"/>
        <v>4.7227420000000002</v>
      </c>
      <c r="S102" s="6">
        <f t="shared" si="283"/>
        <v>32.416344000000002</v>
      </c>
      <c r="T102" s="6">
        <f t="shared" si="283"/>
        <v>21.419619000000001</v>
      </c>
      <c r="U102" s="6">
        <f t="shared" si="283"/>
        <v>6.3455310000000003</v>
      </c>
      <c r="V102" s="6">
        <f t="shared" si="283"/>
        <v>2.6776949999999999</v>
      </c>
      <c r="W102" s="67">
        <f t="shared" ref="W102" si="284">+SUM(J97:J102)+SUM(I103:I108)</f>
        <v>1.8769780000000003</v>
      </c>
      <c r="X102" s="67">
        <f t="shared" ref="X102" si="285">+SUM(K97:K102)+SUM(J103:J108)</f>
        <v>1.354633</v>
      </c>
      <c r="Y102" s="78">
        <f t="shared" si="270"/>
        <v>-0.27829042215731892</v>
      </c>
      <c r="Z102" s="7">
        <f t="shared" si="271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/>
      <c r="L103" s="7"/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286">+SUM(C97:C103)+SUM(B104:B108)</f>
        <v>5.3190779999999993</v>
      </c>
      <c r="Q103" s="6">
        <f t="shared" si="286"/>
        <v>4.8332960000000007</v>
      </c>
      <c r="R103" s="6">
        <f t="shared" si="286"/>
        <v>4.7650039999999994</v>
      </c>
      <c r="S103" s="6">
        <f t="shared" si="286"/>
        <v>34.372225</v>
      </c>
      <c r="T103" s="6">
        <f t="shared" si="286"/>
        <v>19.721806000000001</v>
      </c>
      <c r="U103" s="6">
        <f t="shared" si="286"/>
        <v>5.9483940000000004</v>
      </c>
      <c r="V103" s="6">
        <f t="shared" si="286"/>
        <v>2.6126170000000002</v>
      </c>
      <c r="W103" s="67">
        <f t="shared" ref="W103" si="287">+SUM(J97:J103)+SUM(I104:I108)</f>
        <v>1.8538619999999999</v>
      </c>
      <c r="X103" s="67"/>
      <c r="Y103" s="78"/>
      <c r="Z103" s="7"/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/>
      <c r="L104" s="7"/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288">+SUM(C97:C104)+SUM(B105:B108)</f>
        <v>5.1697299999999995</v>
      </c>
      <c r="Q104" s="6">
        <f t="shared" si="288"/>
        <v>4.9356439999999999</v>
      </c>
      <c r="R104" s="6">
        <f t="shared" si="288"/>
        <v>6.0883709999999995</v>
      </c>
      <c r="S104" s="6">
        <f t="shared" si="288"/>
        <v>36.086154000000001</v>
      </c>
      <c r="T104" s="6">
        <f t="shared" si="288"/>
        <v>16.653506999999998</v>
      </c>
      <c r="U104" s="6">
        <f t="shared" si="288"/>
        <v>5.8793939999999996</v>
      </c>
      <c r="V104" s="6">
        <f t="shared" si="288"/>
        <v>2.3962279999999998</v>
      </c>
      <c r="W104" s="67">
        <f t="shared" ref="W104" si="289">+SUM(J97:J104)+SUM(I105:I108)</f>
        <v>1.780907</v>
      </c>
      <c r="X104" s="67"/>
      <c r="Y104" s="78"/>
      <c r="Z104" s="7"/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/>
      <c r="L105" s="7"/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290">+SUM(C97:C105)+SUM(B106:B108)</f>
        <v>5.0652200000000001</v>
      </c>
      <c r="Q105" s="6">
        <f t="shared" si="290"/>
        <v>5.0036740000000002</v>
      </c>
      <c r="R105" s="6">
        <f t="shared" si="290"/>
        <v>8.3171229999999987</v>
      </c>
      <c r="S105" s="6">
        <f t="shared" si="290"/>
        <v>33.690564999999999</v>
      </c>
      <c r="T105" s="6">
        <f t="shared" si="290"/>
        <v>18.248182</v>
      </c>
      <c r="U105" s="6">
        <f t="shared" si="290"/>
        <v>4.2907200000000003</v>
      </c>
      <c r="V105" s="6">
        <f t="shared" si="290"/>
        <v>2.2885469999999999</v>
      </c>
      <c r="W105" s="67">
        <f t="shared" ref="W105" si="291">+SUM(J97:J105)+SUM(I106:I108)</f>
        <v>1.7906939999999998</v>
      </c>
      <c r="X105" s="67"/>
      <c r="Y105" s="78"/>
      <c r="Z105" s="7"/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292">+SUM(C97:C106)+SUM(B107:B108)</f>
        <v>4.9824479999999998</v>
      </c>
      <c r="Q106" s="6">
        <f t="shared" si="292"/>
        <v>5.0406810000000002</v>
      </c>
      <c r="R106" s="6">
        <f t="shared" si="292"/>
        <v>11.554966999999998</v>
      </c>
      <c r="S106" s="6">
        <f t="shared" si="292"/>
        <v>32.961357999999997</v>
      </c>
      <c r="T106" s="6">
        <f t="shared" si="292"/>
        <v>15.825886999999998</v>
      </c>
      <c r="U106" s="6">
        <f t="shared" si="292"/>
        <v>3.9841880000000001</v>
      </c>
      <c r="V106" s="6">
        <f t="shared" si="292"/>
        <v>2.2191920000000001</v>
      </c>
      <c r="W106" s="67">
        <f t="shared" ref="W106" si="29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294">+SUM(C97:C107)+SUM(B108)</f>
        <v>5.0343980000000004</v>
      </c>
      <c r="Q107" s="6">
        <f t="shared" si="294"/>
        <v>4.7535370000000006</v>
      </c>
      <c r="R107" s="6">
        <f t="shared" si="294"/>
        <v>12.663188</v>
      </c>
      <c r="S107" s="6">
        <f t="shared" si="294"/>
        <v>36.929048999999999</v>
      </c>
      <c r="T107" s="6">
        <f t="shared" si="294"/>
        <v>10.909336999999999</v>
      </c>
      <c r="U107" s="6">
        <f t="shared" si="294"/>
        <v>3.6926239999999999</v>
      </c>
      <c r="V107" s="6">
        <f t="shared" si="294"/>
        <v>2.226537</v>
      </c>
      <c r="W107" s="67">
        <f t="shared" ref="W107" si="29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296">+SUM(C97:C108)</f>
        <v>4.8864700000000001</v>
      </c>
      <c r="Q108" s="6">
        <f t="shared" si="296"/>
        <v>4.7602240000000009</v>
      </c>
      <c r="R108" s="6">
        <f t="shared" si="296"/>
        <v>14.598606999999999</v>
      </c>
      <c r="S108" s="6">
        <f t="shared" si="296"/>
        <v>36.394457000000003</v>
      </c>
      <c r="T108" s="6">
        <f t="shared" si="296"/>
        <v>9.679822999999999</v>
      </c>
      <c r="U108" s="6">
        <f t="shared" si="296"/>
        <v>3.0988709999999999</v>
      </c>
      <c r="V108" s="6">
        <f t="shared" si="296"/>
        <v>2.214941</v>
      </c>
      <c r="W108" s="67">
        <f t="shared" ref="W108" si="29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298">SUM(B97:B108)</f>
        <v>5.7685900000000006</v>
      </c>
      <c r="C109" s="159">
        <f t="shared" si="298"/>
        <v>4.8864700000000001</v>
      </c>
      <c r="D109" s="159">
        <f t="shared" si="298"/>
        <v>4.7602240000000009</v>
      </c>
      <c r="E109" s="159">
        <f t="shared" si="298"/>
        <v>14.598606999999999</v>
      </c>
      <c r="F109" s="159">
        <f t="shared" si="298"/>
        <v>36.394457000000003</v>
      </c>
      <c r="G109" s="159">
        <f t="shared" si="298"/>
        <v>9.679822999999999</v>
      </c>
      <c r="H109" s="159">
        <f t="shared" ref="H109:I109" si="299">SUM(H97:H108)</f>
        <v>3.0988709999999999</v>
      </c>
      <c r="I109" s="159">
        <f t="shared" si="299"/>
        <v>2.214941</v>
      </c>
      <c r="J109" s="216">
        <f t="shared" ref="J109" si="300">SUM(J97:J108)</f>
        <v>1.4783600000000001</v>
      </c>
      <c r="K109" s="216"/>
      <c r="L109" s="56"/>
      <c r="M109" s="3"/>
      <c r="N109" s="43" t="s">
        <v>14</v>
      </c>
      <c r="O109" s="46">
        <f t="shared" ref="O109" si="301">+AVERAGE(O97:O108)</f>
        <v>5.3203629166666673</v>
      </c>
      <c r="P109" s="46">
        <f>+AVERAGE(P97:P108)</f>
        <v>5.2942220000000004</v>
      </c>
      <c r="Q109" s="46">
        <f t="shared" ref="Q109:X109" si="302">+AVERAGE(Q97:Q108)</f>
        <v>4.9483573333333331</v>
      </c>
      <c r="R109" s="46">
        <f t="shared" si="302"/>
        <v>7.1488365833333338</v>
      </c>
      <c r="S109" s="46">
        <f t="shared" si="302"/>
        <v>29.946305999999996</v>
      </c>
      <c r="T109" s="46">
        <f t="shared" si="302"/>
        <v>21.673572333333329</v>
      </c>
      <c r="U109" s="46">
        <f t="shared" si="302"/>
        <v>5.9598575833333323</v>
      </c>
      <c r="V109" s="46">
        <f t="shared" si="302"/>
        <v>2.5654481666666666</v>
      </c>
      <c r="W109" s="68">
        <f t="shared" si="302"/>
        <v>1.8877987499999997</v>
      </c>
      <c r="X109" s="47">
        <f t="shared" si="302"/>
        <v>1.4235818333333334</v>
      </c>
      <c r="Y109" s="79">
        <f>+X109/W109-1</f>
        <v>-0.24590381610681034</v>
      </c>
      <c r="Z109" s="75">
        <f>+POWER(X109/S109,0.2)-1</f>
        <v>-0.45623927515007867</v>
      </c>
    </row>
    <row r="110" spans="1:27" ht="25.5" x14ac:dyDescent="0.25">
      <c r="A110" s="57" t="s">
        <v>15</v>
      </c>
      <c r="B110" s="58">
        <f t="shared" ref="B110:G110" si="303">+B109/B$181</f>
        <v>2.2250382929345173E-2</v>
      </c>
      <c r="C110" s="58">
        <f t="shared" si="303"/>
        <v>2.1771937560578006E-2</v>
      </c>
      <c r="D110" s="58">
        <f t="shared" si="303"/>
        <v>1.735249763323617E-2</v>
      </c>
      <c r="E110" s="58">
        <f t="shared" si="303"/>
        <v>4.788615948655129E-2</v>
      </c>
      <c r="F110" s="58">
        <f t="shared" si="303"/>
        <v>9.3113319067496536E-2</v>
      </c>
      <c r="G110" s="58">
        <f t="shared" si="303"/>
        <v>3.3503970885015326E-2</v>
      </c>
      <c r="H110" s="58">
        <f t="shared" ref="H110" si="304">+H109/H$181</f>
        <v>1.2556758739958051E-2</v>
      </c>
      <c r="I110" s="58">
        <f t="shared" ref="I110:J110" si="305">+I109/I$360</f>
        <v>3.3961226439250718E-3</v>
      </c>
      <c r="J110" s="189">
        <f t="shared" si="305"/>
        <v>2.1701812203195766E-3</v>
      </c>
      <c r="K110" s="234"/>
      <c r="L110" s="59"/>
      <c r="M110" s="3"/>
      <c r="N110" s="44" t="s">
        <v>15</v>
      </c>
      <c r="O110" s="48">
        <f t="shared" ref="O110:X110" si="306">+O109/O$181</f>
        <v>2.0547614703096666E-2</v>
      </c>
      <c r="P110" s="48">
        <f t="shared" si="306"/>
        <v>2.2008333220527226E-2</v>
      </c>
      <c r="Q110" s="48">
        <f t="shared" si="306"/>
        <v>2.0998614905827519E-2</v>
      </c>
      <c r="R110" s="48">
        <f t="shared" si="306"/>
        <v>2.412911728538969E-2</v>
      </c>
      <c r="S110" s="48">
        <f t="shared" si="306"/>
        <v>8.0392801255257967E-2</v>
      </c>
      <c r="T110" s="48">
        <f t="shared" si="306"/>
        <v>6.6831883103329617E-2</v>
      </c>
      <c r="U110" s="48">
        <f t="shared" si="306"/>
        <v>2.2022714278827796E-2</v>
      </c>
      <c r="V110" s="48">
        <f t="shared" si="306"/>
        <v>1.2225532297012271E-2</v>
      </c>
      <c r="W110" s="69">
        <f t="shared" si="306"/>
        <v>1.0123680143197344E-2</v>
      </c>
      <c r="X110" s="72">
        <f t="shared" si="306"/>
        <v>7.2993048172026341E-3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07">+D109/C109-1</f>
        <v>-2.5835828317783416E-2</v>
      </c>
      <c r="E111" s="62">
        <f t="shared" ref="E111" si="308">+E109/D109-1</f>
        <v>2.0667899241716348</v>
      </c>
      <c r="F111" s="62">
        <f t="shared" ref="F111:J111" si="309">+F109/E109-1</f>
        <v>1.4930088877657988</v>
      </c>
      <c r="G111" s="62">
        <f t="shared" si="309"/>
        <v>-0.73403029477813075</v>
      </c>
      <c r="H111" s="62">
        <f t="shared" si="309"/>
        <v>-0.6798628445995345</v>
      </c>
      <c r="I111" s="62">
        <f t="shared" si="309"/>
        <v>-0.28524259318958423</v>
      </c>
      <c r="J111" s="190">
        <f t="shared" si="30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10">+Q109/P109-1</f>
        <v>-6.5328704891231881E-2</v>
      </c>
      <c r="R111" s="50">
        <f t="shared" ref="R111" si="311">+R109/Q109-1</f>
        <v>0.44468883343913745</v>
      </c>
      <c r="S111" s="50">
        <f t="shared" ref="S111" si="312">+S109/R109-1</f>
        <v>3.1889761572975752</v>
      </c>
      <c r="T111" s="50">
        <f t="shared" ref="T111" si="313">+T109/S109-1</f>
        <v>-0.27625222512141123</v>
      </c>
      <c r="U111" s="50">
        <f t="shared" ref="U111" si="314">+U109/T109-1</f>
        <v>-0.72501729333436904</v>
      </c>
      <c r="V111" s="50">
        <f t="shared" ref="V111" si="315">+V109/U109-1</f>
        <v>-0.56954539084274258</v>
      </c>
      <c r="W111" s="70">
        <f t="shared" ref="W111" si="316">+W109/V109-1</f>
        <v>-0.26414465334809278</v>
      </c>
      <c r="X111" s="73">
        <f t="shared" ref="X111" si="317">+X109/W109-1</f>
        <v>-0.24590381610681034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51" t="s">
        <v>112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113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18">+C114+1</f>
        <v>2018</v>
      </c>
      <c r="E114" s="39">
        <f t="shared" si="318"/>
        <v>2019</v>
      </c>
      <c r="F114" s="39">
        <f t="shared" si="318"/>
        <v>2020</v>
      </c>
      <c r="G114" s="39">
        <f t="shared" si="318"/>
        <v>2021</v>
      </c>
      <c r="H114" s="39">
        <f t="shared" si="318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19">+P114+1</f>
        <v>2018</v>
      </c>
      <c r="R114" s="64">
        <f t="shared" ref="R114" si="320">+Q114+1</f>
        <v>2019</v>
      </c>
      <c r="S114" s="64">
        <f t="shared" ref="S114" si="321">+R114+1</f>
        <v>2020</v>
      </c>
      <c r="T114" s="64">
        <f t="shared" ref="T114" si="322">+S114+1</f>
        <v>2021</v>
      </c>
      <c r="U114" s="64">
        <f t="shared" ref="U114" si="323">+T114+1</f>
        <v>2022</v>
      </c>
      <c r="V114" s="64">
        <f t="shared" ref="V114" si="32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2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26">+SUM(C115)+SUM(B116:B126)</f>
        <v>7.272717000000001</v>
      </c>
      <c r="Q115" s="6">
        <f t="shared" si="326"/>
        <v>4.9161209999999995</v>
      </c>
      <c r="R115" s="6">
        <f t="shared" si="326"/>
        <v>4.791353</v>
      </c>
      <c r="S115" s="6">
        <f t="shared" si="326"/>
        <v>15.491101</v>
      </c>
      <c r="T115" s="6">
        <f t="shared" si="326"/>
        <v>9.1370120000000004</v>
      </c>
      <c r="U115" s="6">
        <f t="shared" si="326"/>
        <v>9.2059440000000006</v>
      </c>
      <c r="V115" s="6">
        <f t="shared" si="326"/>
        <v>8.8977869999999992</v>
      </c>
      <c r="W115" s="67">
        <f t="shared" si="326"/>
        <v>7.6465420000000011</v>
      </c>
      <c r="X115" s="37">
        <f t="shared" si="326"/>
        <v>6.4759469999999997</v>
      </c>
      <c r="Y115" s="78">
        <f t="shared" ref="Y115:Y120" si="327">+X115/W115-1</f>
        <v>-0.15308815409632237</v>
      </c>
      <c r="Z115" s="7">
        <f t="shared" ref="Z115:Z120" si="32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2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29">+SUM(C115:C116)+SUM(B117:B126)</f>
        <v>6.8420860000000001</v>
      </c>
      <c r="Q116" s="6">
        <f t="shared" si="329"/>
        <v>4.9698029999999997</v>
      </c>
      <c r="R116" s="6">
        <f t="shared" si="329"/>
        <v>4.687424</v>
      </c>
      <c r="S116" s="6">
        <f t="shared" si="329"/>
        <v>15.831724000000001</v>
      </c>
      <c r="T116" s="6">
        <f t="shared" si="329"/>
        <v>9.3118160000000003</v>
      </c>
      <c r="U116" s="6">
        <f t="shared" si="329"/>
        <v>9.1155830000000009</v>
      </c>
      <c r="V116" s="6">
        <f t="shared" si="329"/>
        <v>8.9485329999999994</v>
      </c>
      <c r="W116" s="67">
        <f t="shared" ref="W116" si="330">+SUM(J115:J116)+SUM(I117:I126)</f>
        <v>7.2517960000000006</v>
      </c>
      <c r="X116" s="67">
        <f t="shared" ref="X116" si="331">+SUM(K115:K116)+SUM(J117:J126)</f>
        <v>6.6673809999999989</v>
      </c>
      <c r="Y116" s="78">
        <f t="shared" si="327"/>
        <v>-8.0589001676274585E-2</v>
      </c>
      <c r="Z116" s="7">
        <f t="shared" si="32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2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32">+SUM(C115:C117)+SUM(B118:B126)</f>
        <v>6.7208400000000008</v>
      </c>
      <c r="Q117" s="6">
        <f t="shared" si="332"/>
        <v>5.1672849999999997</v>
      </c>
      <c r="R117" s="6">
        <f t="shared" si="332"/>
        <v>4.5129969999999995</v>
      </c>
      <c r="S117" s="6">
        <f t="shared" si="332"/>
        <v>16.607266000000003</v>
      </c>
      <c r="T117" s="6">
        <f t="shared" si="332"/>
        <v>9.2315839999999998</v>
      </c>
      <c r="U117" s="6">
        <f t="shared" si="332"/>
        <v>8.8608030000000007</v>
      </c>
      <c r="V117" s="6">
        <f t="shared" si="332"/>
        <v>8.7989850000000001</v>
      </c>
      <c r="W117" s="67">
        <f t="shared" si="332"/>
        <v>7.0111460000000001</v>
      </c>
      <c r="X117" s="67">
        <f t="shared" ref="X117" si="333">+SUM(K115:K117)+SUM(J118:J126)</f>
        <v>6.6936389999999992</v>
      </c>
      <c r="Y117" s="78">
        <f t="shared" si="327"/>
        <v>-4.5286034551270338E-2</v>
      </c>
      <c r="Z117" s="7">
        <f t="shared" si="32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2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34">+SUM(C115:C118)+SUM(B119:B126)</f>
        <v>6.8987240000000005</v>
      </c>
      <c r="Q118" s="6">
        <f t="shared" si="334"/>
        <v>5.1112970000000004</v>
      </c>
      <c r="R118" s="6">
        <f t="shared" si="334"/>
        <v>4.4539840000000002</v>
      </c>
      <c r="S118" s="6">
        <f t="shared" si="334"/>
        <v>16.422543000000001</v>
      </c>
      <c r="T118" s="6">
        <f t="shared" si="334"/>
        <v>9.6403980000000011</v>
      </c>
      <c r="U118" s="6">
        <f t="shared" si="334"/>
        <v>9.3183549999999986</v>
      </c>
      <c r="V118" s="6">
        <f t="shared" ref="V118" si="335">+SUM(I115:I118)+SUM(H119:H126)</f>
        <v>8.4786749999999991</v>
      </c>
      <c r="W118" s="67">
        <f t="shared" ref="W118" si="336">+SUM(J115:J118)+SUM(I119:I126)</f>
        <v>6.9832099999999997</v>
      </c>
      <c r="X118" s="37">
        <f t="shared" ref="X118" si="337">+SUM(K115:K118)+SUM(J119:J126)</f>
        <v>6.5351790000000003</v>
      </c>
      <c r="Y118" s="78">
        <f t="shared" si="327"/>
        <v>-6.4158316877195309E-2</v>
      </c>
      <c r="Z118" s="7">
        <f t="shared" si="32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2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38">+SUM(C115:C119)+SUM(B120:B126)</f>
        <v>6.5877460000000001</v>
      </c>
      <c r="Q119" s="6">
        <f t="shared" si="338"/>
        <v>5.0037650000000005</v>
      </c>
      <c r="R119" s="6">
        <f t="shared" si="338"/>
        <v>4.6302789999999998</v>
      </c>
      <c r="S119" s="6">
        <f t="shared" si="338"/>
        <v>16.308479000000002</v>
      </c>
      <c r="T119" s="6">
        <f t="shared" si="338"/>
        <v>11.198186</v>
      </c>
      <c r="U119" s="6">
        <f t="shared" si="338"/>
        <v>8.1520779999999995</v>
      </c>
      <c r="V119" s="6">
        <f t="shared" ref="V119" si="339">+SUM(I115:I119)+SUM(H120:H126)</f>
        <v>8.56264</v>
      </c>
      <c r="W119" s="67">
        <f t="shared" ref="W119" si="340">+SUM(J115:J119)+SUM(I120:I126)</f>
        <v>6.8110269999999993</v>
      </c>
      <c r="X119" s="37">
        <f t="shared" ref="X119" si="341">+SUM(K115:K119)+SUM(J120:J126)</f>
        <v>6.2645289999999996</v>
      </c>
      <c r="Y119" s="78">
        <f t="shared" si="327"/>
        <v>-8.0237238818756662E-2</v>
      </c>
      <c r="Z119" s="7">
        <f t="shared" si="32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2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42">+SUM(C115:C120)+SUM(B121:B126)</f>
        <v>6.7439240000000007</v>
      </c>
      <c r="Q120" s="6">
        <f t="shared" si="342"/>
        <v>4.8849610000000006</v>
      </c>
      <c r="R120" s="6">
        <f t="shared" si="342"/>
        <v>4.7227420000000002</v>
      </c>
      <c r="S120" s="6">
        <f t="shared" si="342"/>
        <v>16.229455999999999</v>
      </c>
      <c r="T120" s="6">
        <f t="shared" si="342"/>
        <v>11.531056</v>
      </c>
      <c r="U120" s="6">
        <f t="shared" si="342"/>
        <v>8.4016939999999991</v>
      </c>
      <c r="V120" s="6">
        <f t="shared" si="342"/>
        <v>8.7186070000000004</v>
      </c>
      <c r="W120" s="67">
        <f t="shared" ref="W120" si="343">+SUM(J115:J120)+SUM(I121:I126)</f>
        <v>6.4547679999999996</v>
      </c>
      <c r="X120" s="67">
        <f t="shared" ref="X120" si="344">+SUM(K115:K120)+SUM(J121:J126)</f>
        <v>6.1663519999999998</v>
      </c>
      <c r="Y120" s="78">
        <f t="shared" si="327"/>
        <v>-4.4682628407403557E-2</v>
      </c>
      <c r="Z120" s="7">
        <f t="shared" si="32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/>
      <c r="L121" s="7"/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45">+SUM(C115:C121)+SUM(B122:B126)</f>
        <v>6.4294820000000001</v>
      </c>
      <c r="Q121" s="6">
        <f t="shared" si="345"/>
        <v>4.8332960000000007</v>
      </c>
      <c r="R121" s="6">
        <f t="shared" si="345"/>
        <v>4.7650039999999994</v>
      </c>
      <c r="S121" s="6">
        <f t="shared" si="345"/>
        <v>16.768579000000003</v>
      </c>
      <c r="T121" s="6">
        <f t="shared" si="345"/>
        <v>11.198588000000001</v>
      </c>
      <c r="U121" s="6">
        <f t="shared" si="345"/>
        <v>8.6193869999999997</v>
      </c>
      <c r="V121" s="6">
        <f t="shared" si="345"/>
        <v>9.2620970000000007</v>
      </c>
      <c r="W121" s="67">
        <f t="shared" ref="W121" si="346">+SUM(J115:J121)+SUM(I122:I126)</f>
        <v>6.1750059999999998</v>
      </c>
      <c r="X121" s="67"/>
      <c r="Y121" s="78"/>
      <c r="Z121" s="7"/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/>
      <c r="L122" s="7"/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347">+SUM(C115:C122)+SUM(B123:B126)</f>
        <v>5.377186</v>
      </c>
      <c r="Q122" s="6">
        <f t="shared" si="347"/>
        <v>4.9356439999999999</v>
      </c>
      <c r="R122" s="6">
        <f t="shared" si="347"/>
        <v>6.0883709999999995</v>
      </c>
      <c r="S122" s="6">
        <f t="shared" si="347"/>
        <v>15.927488</v>
      </c>
      <c r="T122" s="6">
        <f t="shared" si="347"/>
        <v>10.606189000000001</v>
      </c>
      <c r="U122" s="6">
        <f t="shared" si="347"/>
        <v>9.7221539999999997</v>
      </c>
      <c r="V122" s="6">
        <f t="shared" si="347"/>
        <v>8.2294870000000007</v>
      </c>
      <c r="W122" s="67">
        <f t="shared" ref="W122" si="348">+SUM(J115:J122)+SUM(I123:I126)</f>
        <v>6.5597119999999993</v>
      </c>
      <c r="X122" s="67"/>
      <c r="Y122" s="78"/>
      <c r="Z122" s="7"/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/>
      <c r="L123" s="7"/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349">+SUM(C115:C123)+SUM(B124:B126)</f>
        <v>4.265625</v>
      </c>
      <c r="Q123" s="6">
        <f t="shared" si="349"/>
        <v>5.0036740000000002</v>
      </c>
      <c r="R123" s="6">
        <f t="shared" si="349"/>
        <v>8.3171229999999987</v>
      </c>
      <c r="S123" s="6">
        <f t="shared" si="349"/>
        <v>13.673829</v>
      </c>
      <c r="T123" s="6">
        <f t="shared" si="349"/>
        <v>10.631216</v>
      </c>
      <c r="U123" s="6">
        <f t="shared" si="349"/>
        <v>10.155853</v>
      </c>
      <c r="V123" s="6">
        <f t="shared" si="349"/>
        <v>7.8041510000000009</v>
      </c>
      <c r="W123" s="67">
        <f t="shared" ref="W123" si="350">+SUM(J115:J123)+SUM(I124:I126)</f>
        <v>6.7371470000000002</v>
      </c>
      <c r="X123" s="67"/>
      <c r="Y123" s="78"/>
      <c r="Z123" s="7"/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/>
      <c r="L124" s="7"/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351">+SUM(C115:C124)+SUM(B125:B126)</f>
        <v>4.1188919999999998</v>
      </c>
      <c r="Q124" s="6">
        <f t="shared" si="351"/>
        <v>5.0406810000000002</v>
      </c>
      <c r="R124" s="6">
        <f t="shared" si="351"/>
        <v>11.554966999999998</v>
      </c>
      <c r="S124" s="6">
        <f t="shared" si="351"/>
        <v>11.086993</v>
      </c>
      <c r="T124" s="6">
        <f t="shared" si="351"/>
        <v>11.118378</v>
      </c>
      <c r="U124" s="6">
        <f t="shared" si="351"/>
        <v>9.0700329999999987</v>
      </c>
      <c r="V124" s="6">
        <f t="shared" ref="V124" si="352">+SUM(I115:I124)+SUM(H125:H126)</f>
        <v>7.9000800000000009</v>
      </c>
      <c r="W124" s="67">
        <f t="shared" ref="W124" si="353">+SUM(J115:J124)+SUM(I125:I126)</f>
        <v>6.380128</v>
      </c>
      <c r="X124" s="67"/>
      <c r="Y124" s="78"/>
      <c r="Z124" s="7"/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354">+SUM(C115:C125)+SUM(B126)</f>
        <v>4.4350750000000003</v>
      </c>
      <c r="Q125" s="6">
        <f t="shared" si="354"/>
        <v>4.7535370000000006</v>
      </c>
      <c r="R125" s="6">
        <f t="shared" si="354"/>
        <v>12.663188</v>
      </c>
      <c r="S125" s="6">
        <f t="shared" si="354"/>
        <v>10.872363999999999</v>
      </c>
      <c r="T125" s="6">
        <f t="shared" si="354"/>
        <v>10.440315000000002</v>
      </c>
      <c r="U125" s="6">
        <f t="shared" si="354"/>
        <v>8.7775059999999989</v>
      </c>
      <c r="V125" s="6">
        <f t="shared" ref="V125" si="355">+SUM(I115:I125)+SUM(H126)</f>
        <v>7.7525350000000008</v>
      </c>
      <c r="W125" s="67">
        <f t="shared" ref="W125" si="356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357">+SUM(C115:C126)</f>
        <v>4.8864700000000001</v>
      </c>
      <c r="Q126" s="6">
        <f t="shared" si="357"/>
        <v>4.7602240000000009</v>
      </c>
      <c r="R126" s="6">
        <f t="shared" si="357"/>
        <v>14.598606999999999</v>
      </c>
      <c r="S126" s="6">
        <f t="shared" si="357"/>
        <v>9.9333320000000001</v>
      </c>
      <c r="T126" s="6">
        <f t="shared" si="357"/>
        <v>9.3366760000000006</v>
      </c>
      <c r="U126" s="6">
        <f t="shared" si="357"/>
        <v>8.8138529999999999</v>
      </c>
      <c r="V126" s="6">
        <f t="shared" ref="V126" si="358">+SUM(I115:I126)</f>
        <v>7.7836920000000012</v>
      </c>
      <c r="W126" s="67">
        <f t="shared" ref="W126" si="359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360">SUM(C115:C126)</f>
        <v>4.8864700000000001</v>
      </c>
      <c r="D127" s="159">
        <f t="shared" si="360"/>
        <v>4.7602240000000009</v>
      </c>
      <c r="E127" s="159">
        <f t="shared" si="360"/>
        <v>14.598606999999999</v>
      </c>
      <c r="F127" s="159">
        <f t="shared" si="360"/>
        <v>9.9333320000000001</v>
      </c>
      <c r="G127" s="159">
        <f t="shared" ref="G127:I127" si="361">SUM(G115:G126)</f>
        <v>9.3366760000000006</v>
      </c>
      <c r="H127" s="159">
        <f t="shared" si="361"/>
        <v>8.8138529999999999</v>
      </c>
      <c r="I127" s="159">
        <f t="shared" si="361"/>
        <v>7.7836920000000012</v>
      </c>
      <c r="J127" s="216">
        <f t="shared" ref="J127" si="362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363">+AVERAGE(Q115:Q126)</f>
        <v>4.9483573333333331</v>
      </c>
      <c r="R127" s="46">
        <f t="shared" si="363"/>
        <v>7.1488365833333338</v>
      </c>
      <c r="S127" s="46">
        <f t="shared" si="363"/>
        <v>14.596096166666671</v>
      </c>
      <c r="T127" s="46">
        <f t="shared" si="363"/>
        <v>10.281784499999999</v>
      </c>
      <c r="U127" s="46">
        <f t="shared" si="363"/>
        <v>9.0177702499999999</v>
      </c>
      <c r="V127" s="46">
        <f t="shared" si="363"/>
        <v>8.4281057500000021</v>
      </c>
      <c r="W127" s="68">
        <f t="shared" si="363"/>
        <v>6.7604491666666666</v>
      </c>
      <c r="X127" s="47">
        <f t="shared" si="363"/>
        <v>6.4671711666666667</v>
      </c>
      <c r="Y127" s="79">
        <f>+X127/W127-1</f>
        <v>-4.3381437056881911E-2</v>
      </c>
      <c r="Z127" s="75">
        <f>+POWER(X127/S127,0.2)-1</f>
        <v>-0.15024147955889533</v>
      </c>
    </row>
    <row r="128" spans="1:26" ht="25.5" x14ac:dyDescent="0.25">
      <c r="A128" s="57" t="s">
        <v>15</v>
      </c>
      <c r="B128" s="58">
        <f t="shared" ref="B128:G128" si="364">+B127/B$181</f>
        <v>2.8668730428039621E-2</v>
      </c>
      <c r="C128" s="58">
        <f t="shared" si="364"/>
        <v>2.1771937560578006E-2</v>
      </c>
      <c r="D128" s="58">
        <f t="shared" si="364"/>
        <v>1.735249763323617E-2</v>
      </c>
      <c r="E128" s="58">
        <f t="shared" si="364"/>
        <v>4.788615948655129E-2</v>
      </c>
      <c r="F128" s="58">
        <f t="shared" si="364"/>
        <v>2.5413911572286226E-2</v>
      </c>
      <c r="G128" s="58">
        <f t="shared" si="364"/>
        <v>3.2316264550170129E-2</v>
      </c>
      <c r="H128" s="58">
        <f t="shared" ref="H128" si="365">+H127/H$181</f>
        <v>3.5714111910581464E-2</v>
      </c>
      <c r="I128" s="58">
        <f t="shared" ref="I128:J128" si="366">+I127/I$360</f>
        <v>1.193457191615417E-2</v>
      </c>
      <c r="J128" s="189">
        <f t="shared" si="366"/>
        <v>9.5700608471627913E-3</v>
      </c>
      <c r="K128" s="234"/>
      <c r="L128" s="59"/>
      <c r="M128" s="3"/>
      <c r="N128" s="44" t="s">
        <v>15</v>
      </c>
      <c r="O128" s="48">
        <f t="shared" ref="O128:X128" si="367">+O127/O$181</f>
        <v>2.5376967332087622E-2</v>
      </c>
      <c r="P128" s="48">
        <f t="shared" si="367"/>
        <v>2.4449941565697329E-2</v>
      </c>
      <c r="Q128" s="48">
        <f t="shared" si="367"/>
        <v>2.0998614905827519E-2</v>
      </c>
      <c r="R128" s="48">
        <f t="shared" si="367"/>
        <v>2.412911728538969E-2</v>
      </c>
      <c r="S128" s="48">
        <f t="shared" si="367"/>
        <v>3.9184167096585017E-2</v>
      </c>
      <c r="T128" s="48">
        <f t="shared" si="367"/>
        <v>3.1704557478086245E-2</v>
      </c>
      <c r="U128" s="48">
        <f t="shared" si="367"/>
        <v>3.3322235451268861E-2</v>
      </c>
      <c r="V128" s="48">
        <f t="shared" si="367"/>
        <v>4.0163773483343886E-2</v>
      </c>
      <c r="W128" s="69">
        <f t="shared" si="367"/>
        <v>3.625419552146561E-2</v>
      </c>
      <c r="X128" s="72">
        <f t="shared" si="367"/>
        <v>3.3159915745757253E-2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68">+D127/C127-1</f>
        <v>-2.5835828317783416E-2</v>
      </c>
      <c r="E129" s="62">
        <f t="shared" si="368"/>
        <v>2.0667899241716348</v>
      </c>
      <c r="F129" s="62">
        <f t="shared" si="368"/>
        <v>-0.31956987402976189</v>
      </c>
      <c r="G129" s="62">
        <f t="shared" si="368"/>
        <v>-6.0066048331013144E-2</v>
      </c>
      <c r="H129" s="62">
        <f t="shared" si="368"/>
        <v>-5.5996695183596512E-2</v>
      </c>
      <c r="I129" s="62">
        <f t="shared" si="368"/>
        <v>-0.11687975735470046</v>
      </c>
      <c r="J129" s="190">
        <f t="shared" si="368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369">+Q127/P127-1</f>
        <v>-0.15866640175224389</v>
      </c>
      <c r="R129" s="50">
        <f t="shared" ref="R129" si="370">+R127/Q127-1</f>
        <v>0.44468883343913745</v>
      </c>
      <c r="S129" s="50">
        <f t="shared" ref="S129" si="371">+S127/R127-1</f>
        <v>1.0417442749629697</v>
      </c>
      <c r="T129" s="50">
        <f t="shared" ref="T129" si="372">+T127/S127-1</f>
        <v>-0.29557983295008239</v>
      </c>
      <c r="U129" s="50">
        <f t="shared" ref="U129" si="373">+U127/T127-1</f>
        <v>-0.12293724401634742</v>
      </c>
      <c r="V129" s="50">
        <f t="shared" ref="V129" si="374">+V127/U127-1</f>
        <v>-6.5389168680583531E-2</v>
      </c>
      <c r="W129" s="70">
        <f t="shared" ref="W129" si="375">+W127/V127-1</f>
        <v>-0.19786849296870002</v>
      </c>
      <c r="X129" s="73">
        <f t="shared" ref="X129" si="376">+X127/W127-1</f>
        <v>-4.3381437056881911E-2</v>
      </c>
      <c r="Y129" s="51"/>
      <c r="Z129" s="52"/>
    </row>
    <row r="130" spans="1:26" ht="15.75" thickBot="1" x14ac:dyDescent="0.3"/>
    <row r="131" spans="1:26" ht="15.75" thickBot="1" x14ac:dyDescent="0.3">
      <c r="A131" s="351" t="s">
        <v>114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115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377">+C132+1</f>
        <v>2018</v>
      </c>
      <c r="E132" s="39">
        <f t="shared" si="377"/>
        <v>2019</v>
      </c>
      <c r="F132" s="39">
        <f t="shared" si="377"/>
        <v>2020</v>
      </c>
      <c r="G132" s="39">
        <f t="shared" si="377"/>
        <v>2021</v>
      </c>
      <c r="H132" s="39">
        <f t="shared" si="377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78">+P132+1</f>
        <v>2018</v>
      </c>
      <c r="R132" s="64">
        <f t="shared" ref="R132" si="379">+Q132+1</f>
        <v>2019</v>
      </c>
      <c r="S132" s="64">
        <f t="shared" ref="S132" si="380">+R132+1</f>
        <v>2020</v>
      </c>
      <c r="T132" s="64">
        <f t="shared" ref="T132" si="381">+S132+1</f>
        <v>2021</v>
      </c>
      <c r="U132" s="64">
        <f t="shared" ref="U132" si="382">+T132+1</f>
        <v>2022</v>
      </c>
      <c r="V132" s="64">
        <f t="shared" ref="V132" si="383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384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385">+SUM(C133)+SUM(B134:B144)</f>
        <v>14.354139</v>
      </c>
      <c r="Q133" s="6">
        <f t="shared" si="385"/>
        <v>11.107140000000001</v>
      </c>
      <c r="R133" s="6">
        <f t="shared" si="385"/>
        <v>11.366485000000001</v>
      </c>
      <c r="S133" s="6">
        <f t="shared" si="385"/>
        <v>11.984876999999997</v>
      </c>
      <c r="T133" s="6">
        <f t="shared" si="385"/>
        <v>14.976700000000001</v>
      </c>
      <c r="U133" s="6">
        <f t="shared" si="385"/>
        <v>12.926758000000001</v>
      </c>
      <c r="V133" s="6">
        <f t="shared" si="385"/>
        <v>8.8647849999999977</v>
      </c>
      <c r="W133" s="67">
        <f t="shared" si="385"/>
        <v>2.229571</v>
      </c>
      <c r="X133" s="37">
        <f t="shared" si="385"/>
        <v>4.3789109999999996</v>
      </c>
      <c r="Y133" s="78">
        <f t="shared" ref="Y133:Y138" si="386">+X133/W133-1</f>
        <v>0.96401505042898372</v>
      </c>
      <c r="Z133" s="7">
        <f t="shared" ref="Z133:Z138" si="387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384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388">+SUM(C133:C134)+SUM(B135:B144)</f>
        <v>14.013481000000002</v>
      </c>
      <c r="Q134" s="6">
        <f t="shared" si="388"/>
        <v>11.084982999999999</v>
      </c>
      <c r="R134" s="6">
        <f t="shared" si="388"/>
        <v>11.365556000000002</v>
      </c>
      <c r="S134" s="6">
        <f t="shared" si="388"/>
        <v>12.46411</v>
      </c>
      <c r="T134" s="6">
        <f t="shared" si="388"/>
        <v>14.916840000000001</v>
      </c>
      <c r="U134" s="6">
        <f t="shared" si="388"/>
        <v>12.610899000000002</v>
      </c>
      <c r="V134" s="6">
        <f t="shared" si="388"/>
        <v>8.4905639999999991</v>
      </c>
      <c r="W134" s="67">
        <f t="shared" ref="W134" si="389">+SUM(J133:J134)+SUM(I135:I144)</f>
        <v>2.1393199999999997</v>
      </c>
      <c r="X134" s="67">
        <f t="shared" ref="X134" si="390">+SUM(K133:K134)+SUM(J135:J144)</f>
        <v>4.5236779999999994</v>
      </c>
      <c r="Y134" s="78">
        <f t="shared" si="386"/>
        <v>1.1145401342482657</v>
      </c>
      <c r="Z134" s="7">
        <f t="shared" si="387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384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391">+SUM(C133:C135)+SUM(B136:B144)</f>
        <v>12.812017000000003</v>
      </c>
      <c r="Q135" s="6">
        <f t="shared" si="391"/>
        <v>12.447205</v>
      </c>
      <c r="R135" s="6">
        <f t="shared" si="391"/>
        <v>10.308225999999999</v>
      </c>
      <c r="S135" s="6">
        <f t="shared" si="391"/>
        <v>12.670753999999999</v>
      </c>
      <c r="T135" s="6">
        <f t="shared" si="391"/>
        <v>15.592862</v>
      </c>
      <c r="U135" s="6">
        <f t="shared" si="391"/>
        <v>12.102914</v>
      </c>
      <c r="V135" s="6">
        <f t="shared" si="391"/>
        <v>7.7844319999999989</v>
      </c>
      <c r="W135" s="67">
        <f t="shared" si="391"/>
        <v>2.1081400000000001</v>
      </c>
      <c r="X135" s="67">
        <f t="shared" ref="X135" si="392">+SUM(K133:K135)+SUM(J136:J144)</f>
        <v>4.5066360000000003</v>
      </c>
      <c r="Y135" s="78">
        <f t="shared" si="386"/>
        <v>1.137730890737807</v>
      </c>
      <c r="Z135" s="7">
        <f t="shared" si="387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384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393">+SUM(C133:C136)+SUM(B137:B144)</f>
        <v>12.441934</v>
      </c>
      <c r="Q136" s="6">
        <f t="shared" si="393"/>
        <v>12.413</v>
      </c>
      <c r="R136" s="6">
        <f t="shared" si="393"/>
        <v>10.668150000000001</v>
      </c>
      <c r="S136" s="6">
        <f t="shared" si="393"/>
        <v>12.577065000000001</v>
      </c>
      <c r="T136" s="6">
        <f t="shared" si="393"/>
        <v>15.453499999999998</v>
      </c>
      <c r="U136" s="6">
        <f t="shared" si="393"/>
        <v>11.700337000000001</v>
      </c>
      <c r="V136" s="6">
        <f t="shared" si="393"/>
        <v>7.2510819999999994</v>
      </c>
      <c r="W136" s="67">
        <f t="shared" ref="W136" si="394">+SUM(J133:J136)+SUM(I137:I144)</f>
        <v>2.4559499999999996</v>
      </c>
      <c r="X136" s="37">
        <f t="shared" ref="X136" si="395">+SUM(K133:K136)+SUM(J137:J144)</f>
        <v>4.3528120000000001</v>
      </c>
      <c r="Y136" s="78">
        <f t="shared" si="386"/>
        <v>0.77235367169527103</v>
      </c>
      <c r="Z136" s="7">
        <f t="shared" si="387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384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396">+SUM(C133:C137)+SUM(B138:B144)</f>
        <v>11.935435999999999</v>
      </c>
      <c r="Q137" s="6">
        <f t="shared" si="396"/>
        <v>11.721361999999999</v>
      </c>
      <c r="R137" s="6">
        <f t="shared" si="396"/>
        <v>11.589193000000002</v>
      </c>
      <c r="S137" s="6">
        <f t="shared" si="396"/>
        <v>13.9964</v>
      </c>
      <c r="T137" s="6">
        <f t="shared" si="396"/>
        <v>15.218237000000002</v>
      </c>
      <c r="U137" s="6">
        <f t="shared" si="396"/>
        <v>9.6773540000000011</v>
      </c>
      <c r="V137" s="6">
        <f t="shared" si="396"/>
        <v>6.7603849999999994</v>
      </c>
      <c r="W137" s="67">
        <f t="shared" ref="W137" si="397">+SUM(J133:J137)+SUM(I138:I144)</f>
        <v>2.7790049999999997</v>
      </c>
      <c r="X137" s="37">
        <f t="shared" ref="X137" si="398">+SUM(K133:K137)+SUM(J138:J144)</f>
        <v>4.3101630000000002</v>
      </c>
      <c r="Y137" s="78">
        <f t="shared" si="386"/>
        <v>0.55097345992540525</v>
      </c>
      <c r="Z137" s="7">
        <f t="shared" si="387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384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399">+SUM(C133:C138)+SUM(B139:B144)</f>
        <v>11.585523999999999</v>
      </c>
      <c r="Q138" s="6">
        <f t="shared" si="399"/>
        <v>11.1037</v>
      </c>
      <c r="R138" s="6">
        <f t="shared" si="399"/>
        <v>12.014308000000002</v>
      </c>
      <c r="S138" s="6">
        <f t="shared" si="399"/>
        <v>15.973375999999998</v>
      </c>
      <c r="T138" s="6">
        <f t="shared" si="399"/>
        <v>13.080456000000002</v>
      </c>
      <c r="U138" s="6">
        <f t="shared" si="399"/>
        <v>9.6280350000000006</v>
      </c>
      <c r="V138" s="6">
        <f t="shared" si="399"/>
        <v>6.0244290000000005</v>
      </c>
      <c r="W138" s="67">
        <f t="shared" ref="W138" si="400">+SUM(J133:J138)+SUM(I139:I144)</f>
        <v>3.3068249999999999</v>
      </c>
      <c r="X138" s="67">
        <f t="shared" ref="X138" si="401">+SUM(K133:K138)+SUM(J139:J144)</f>
        <v>4.2923740000000006</v>
      </c>
      <c r="Y138" s="78">
        <f t="shared" si="386"/>
        <v>0.29803482192132957</v>
      </c>
      <c r="Z138" s="7">
        <f t="shared" si="387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/>
      <c r="L139" s="7"/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02">+SUM(C133:C139)+SUM(B140:B144)</f>
        <v>11.610619999999999</v>
      </c>
      <c r="Q139" s="6">
        <f t="shared" si="402"/>
        <v>10.632338000000001</v>
      </c>
      <c r="R139" s="6">
        <f t="shared" si="402"/>
        <v>12.025013000000001</v>
      </c>
      <c r="S139" s="6">
        <f t="shared" si="402"/>
        <v>16.018583999999997</v>
      </c>
      <c r="T139" s="6">
        <f t="shared" si="402"/>
        <v>13.576908</v>
      </c>
      <c r="U139" s="6">
        <f t="shared" si="402"/>
        <v>9.9631150000000019</v>
      </c>
      <c r="V139" s="6">
        <f t="shared" si="402"/>
        <v>4.1651220000000002</v>
      </c>
      <c r="W139" s="67">
        <f t="shared" ref="W139" si="403">+SUM(J133:J139)+SUM(I140:I144)</f>
        <v>3.3751389999999999</v>
      </c>
      <c r="X139" s="67"/>
      <c r="Y139" s="78"/>
      <c r="Z139" s="7"/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/>
      <c r="L140" s="7"/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04">+SUM(C133:C140)+SUM(B141:B144)</f>
        <v>11.509726000000001</v>
      </c>
      <c r="Q140" s="6">
        <f t="shared" si="404"/>
        <v>10.726326</v>
      </c>
      <c r="R140" s="6">
        <f t="shared" si="404"/>
        <v>11.480637000000002</v>
      </c>
      <c r="S140" s="6">
        <f t="shared" si="404"/>
        <v>16.724117999999997</v>
      </c>
      <c r="T140" s="6">
        <f t="shared" si="404"/>
        <v>13.184272999999999</v>
      </c>
      <c r="U140" s="6">
        <f t="shared" si="404"/>
        <v>9.9316590000000016</v>
      </c>
      <c r="V140" s="6">
        <f t="shared" si="404"/>
        <v>3.6977159999999998</v>
      </c>
      <c r="W140" s="67">
        <f t="shared" ref="W140" si="405">+SUM(J133:J140)+SUM(I141:I144)</f>
        <v>3.987482</v>
      </c>
      <c r="X140" s="67"/>
      <c r="Y140" s="78"/>
      <c r="Z140" s="7"/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/>
      <c r="L141" s="7"/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06">+SUM(C133:C141)+SUM(B142:B144)</f>
        <v>11.146570000000001</v>
      </c>
      <c r="Q141" s="6">
        <f t="shared" si="406"/>
        <v>11.087637000000001</v>
      </c>
      <c r="R141" s="6">
        <f t="shared" si="406"/>
        <v>11.902310000000002</v>
      </c>
      <c r="S141" s="6">
        <f t="shared" si="406"/>
        <v>16.199542999999998</v>
      </c>
      <c r="T141" s="6">
        <f t="shared" si="406"/>
        <v>12.451402</v>
      </c>
      <c r="U141" s="6">
        <f t="shared" si="406"/>
        <v>9.9663710000000005</v>
      </c>
      <c r="V141" s="6">
        <f t="shared" si="406"/>
        <v>3.517598</v>
      </c>
      <c r="W141" s="67">
        <f t="shared" ref="W141" si="407">+SUM(J133:J141)+SUM(I142:I144)</f>
        <v>4.2644059999999993</v>
      </c>
      <c r="X141" s="67"/>
      <c r="Y141" s="78"/>
      <c r="Z141" s="7"/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/>
      <c r="L142" s="7"/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08">+SUM(C133:C142)+SUM(B143:B144)</f>
        <v>10.456643000000001</v>
      </c>
      <c r="Q142" s="6">
        <f t="shared" si="408"/>
        <v>11.306710000000001</v>
      </c>
      <c r="R142" s="6">
        <f t="shared" si="408"/>
        <v>11.924541000000001</v>
      </c>
      <c r="S142" s="6">
        <f t="shared" si="408"/>
        <v>16.145913999999998</v>
      </c>
      <c r="T142" s="6">
        <f t="shared" si="408"/>
        <v>11.971228</v>
      </c>
      <c r="U142" s="6">
        <f t="shared" si="408"/>
        <v>9.6294080000000015</v>
      </c>
      <c r="V142" s="6">
        <f t="shared" si="408"/>
        <v>3.380636</v>
      </c>
      <c r="W142" s="67">
        <f t="shared" ref="W142" si="409">+SUM(J133:J142)+SUM(I143:I144)</f>
        <v>4.3799320000000002</v>
      </c>
      <c r="X142" s="67"/>
      <c r="Y142" s="78"/>
      <c r="Z142" s="7"/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10">+SUM(C133:C143)+SUM(B144)</f>
        <v>10.591595000000002</v>
      </c>
      <c r="Q143" s="6">
        <f t="shared" si="410"/>
        <v>11.511352</v>
      </c>
      <c r="R143" s="6">
        <f t="shared" si="410"/>
        <v>12.082487</v>
      </c>
      <c r="S143" s="6">
        <f t="shared" si="410"/>
        <v>15.662682999999998</v>
      </c>
      <c r="T143" s="6">
        <f t="shared" si="410"/>
        <v>12.079368000000001</v>
      </c>
      <c r="U143" s="6">
        <f t="shared" si="410"/>
        <v>9.0802680000000002</v>
      </c>
      <c r="V143" s="6">
        <f t="shared" si="410"/>
        <v>3.3371819999999999</v>
      </c>
      <c r="W143" s="67">
        <f t="shared" ref="W143" si="411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12">+SUM(C133:C144)</f>
        <v>11.188770000000002</v>
      </c>
      <c r="Q144" s="6">
        <f t="shared" si="412"/>
        <v>11.157334000000001</v>
      </c>
      <c r="R144" s="6">
        <f t="shared" si="412"/>
        <v>12.003783</v>
      </c>
      <c r="S144" s="6">
        <f t="shared" si="412"/>
        <v>15.516882999999998</v>
      </c>
      <c r="T144" s="6">
        <f t="shared" si="412"/>
        <v>12.34088</v>
      </c>
      <c r="U144" s="6">
        <f t="shared" si="412"/>
        <v>9.0659729999999996</v>
      </c>
      <c r="V144" s="6">
        <f t="shared" si="412"/>
        <v>2.9473769999999999</v>
      </c>
      <c r="W144" s="67">
        <f t="shared" ref="W144" si="413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14">SUM(C133:C144)</f>
        <v>11.188770000000002</v>
      </c>
      <c r="D145" s="159">
        <f t="shared" si="414"/>
        <v>11.157334000000001</v>
      </c>
      <c r="E145" s="159">
        <f t="shared" si="414"/>
        <v>12.003783</v>
      </c>
      <c r="F145" s="159">
        <f t="shared" si="414"/>
        <v>15.516882999999998</v>
      </c>
      <c r="G145" s="159">
        <f t="shared" ref="G145" si="415">SUM(G133:G144)</f>
        <v>12.34088</v>
      </c>
      <c r="H145" s="159">
        <f t="shared" ref="H145:I145" si="416">SUM(H133:H144)</f>
        <v>9.0659729999999996</v>
      </c>
      <c r="I145" s="159">
        <f t="shared" si="416"/>
        <v>2.9473769999999999</v>
      </c>
      <c r="J145" s="216">
        <f t="shared" ref="J145" si="417">SUM(J133:J144)</f>
        <v>4.3074589999999997</v>
      </c>
      <c r="K145" s="216"/>
      <c r="L145" s="56"/>
      <c r="M145" s="3"/>
      <c r="N145" s="43" t="s">
        <v>14</v>
      </c>
      <c r="O145" s="46">
        <f t="shared" ref="O145" si="418">+AVERAGE(O133:O144)</f>
        <v>11.306833583333331</v>
      </c>
      <c r="P145" s="46">
        <f>+AVERAGE(P133:P144)</f>
        <v>11.970537916666666</v>
      </c>
      <c r="Q145" s="46">
        <f t="shared" ref="Q145:X145" si="419">+AVERAGE(Q133:Q144)</f>
        <v>11.358257250000001</v>
      </c>
      <c r="R145" s="46">
        <f t="shared" si="419"/>
        <v>11.56089075</v>
      </c>
      <c r="S145" s="46">
        <f t="shared" si="419"/>
        <v>14.661192249999999</v>
      </c>
      <c r="T145" s="46">
        <f t="shared" si="419"/>
        <v>13.736887833333332</v>
      </c>
      <c r="U145" s="46">
        <f t="shared" si="419"/>
        <v>10.523590916666667</v>
      </c>
      <c r="V145" s="46">
        <f t="shared" si="419"/>
        <v>5.5184423333333328</v>
      </c>
      <c r="W145" s="68">
        <f t="shared" si="419"/>
        <v>3.3317535833333332</v>
      </c>
      <c r="X145" s="47">
        <f t="shared" si="419"/>
        <v>4.394095666666666</v>
      </c>
      <c r="Y145" s="79">
        <f>+X145/W145-1</f>
        <v>0.31885373775766657</v>
      </c>
      <c r="Z145" s="75">
        <f>+POWER(X145/S145,0.2)-1</f>
        <v>-0.21414930086873973</v>
      </c>
    </row>
    <row r="146" spans="1:26" ht="25.5" x14ac:dyDescent="0.25">
      <c r="A146" s="57" t="s">
        <v>15</v>
      </c>
      <c r="B146" s="58">
        <f t="shared" ref="B146:G146" si="420">+B145/B$181</f>
        <v>5.395189911393674E-2</v>
      </c>
      <c r="C146" s="58">
        <f t="shared" si="420"/>
        <v>4.9852184055088518E-2</v>
      </c>
      <c r="D146" s="58">
        <f t="shared" si="420"/>
        <v>4.0671954056831237E-2</v>
      </c>
      <c r="E146" s="58">
        <f t="shared" si="420"/>
        <v>3.9374651785608936E-2</v>
      </c>
      <c r="F146" s="58">
        <f t="shared" si="420"/>
        <v>3.9699135440103214E-2</v>
      </c>
      <c r="G146" s="58">
        <f t="shared" si="420"/>
        <v>4.2714467425227512E-2</v>
      </c>
      <c r="H146" s="58">
        <f t="shared" ref="H146" si="421">+H145/H$181</f>
        <v>3.6735713007728849E-2</v>
      </c>
      <c r="I146" s="58">
        <f t="shared" ref="I146:J146" si="422">+I145/I$360</f>
        <v>4.5191514220396601E-3</v>
      </c>
      <c r="J146" s="189">
        <f t="shared" si="422"/>
        <v>6.3232004580051826E-3</v>
      </c>
      <c r="K146" s="234"/>
      <c r="L146" s="59"/>
      <c r="M146" s="3"/>
      <c r="N146" s="44" t="s">
        <v>15</v>
      </c>
      <c r="O146" s="48">
        <f t="shared" ref="O146:X146" si="423">+O145/O$181</f>
        <v>4.3667784251065031E-2</v>
      </c>
      <c r="P146" s="48">
        <f t="shared" si="423"/>
        <v>4.9762096734696004E-2</v>
      </c>
      <c r="Q146" s="48">
        <f t="shared" si="423"/>
        <v>4.8199362723348231E-2</v>
      </c>
      <c r="R146" s="48">
        <f t="shared" si="423"/>
        <v>3.9020907189384522E-2</v>
      </c>
      <c r="S146" s="48">
        <f t="shared" si="423"/>
        <v>3.9358921755470559E-2</v>
      </c>
      <c r="T146" s="48">
        <f t="shared" si="423"/>
        <v>4.2358595424942067E-2</v>
      </c>
      <c r="U146" s="48">
        <f t="shared" si="423"/>
        <v>3.8886505709989777E-2</v>
      </c>
      <c r="V146" s="48">
        <f t="shared" si="423"/>
        <v>2.6297898297834674E-2</v>
      </c>
      <c r="W146" s="69">
        <f t="shared" si="423"/>
        <v>1.786716279667961E-2</v>
      </c>
      <c r="X146" s="72">
        <f t="shared" si="423"/>
        <v>2.2530382810412756E-2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24">+D145/C145-1</f>
        <v>-2.8096028428505893E-3</v>
      </c>
      <c r="E147" s="62">
        <f t="shared" si="424"/>
        <v>7.5864807847465965E-2</v>
      </c>
      <c r="F147" s="62">
        <f t="shared" si="424"/>
        <v>0.29266607035465375</v>
      </c>
      <c r="G147" s="62">
        <f t="shared" si="424"/>
        <v>-0.20468047609819562</v>
      </c>
      <c r="H147" s="62">
        <f t="shared" si="424"/>
        <v>-0.26537062186813265</v>
      </c>
      <c r="I147" s="62">
        <f t="shared" si="424"/>
        <v>-0.67489678162509414</v>
      </c>
      <c r="J147" s="190">
        <f t="shared" si="424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25">+Q145/P145-1</f>
        <v>-5.1148968486552482E-2</v>
      </c>
      <c r="R147" s="50">
        <f t="shared" ref="R147" si="426">+R145/Q145-1</f>
        <v>1.7840192869376992E-2</v>
      </c>
      <c r="S147" s="50">
        <f t="shared" ref="S147" si="427">+S145/R145-1</f>
        <v>0.26817150745931917</v>
      </c>
      <c r="T147" s="50">
        <f t="shared" ref="T147" si="428">+T145/S145-1</f>
        <v>-6.3044287320266679E-2</v>
      </c>
      <c r="U147" s="50">
        <f t="shared" ref="U147" si="429">+U145/T145-1</f>
        <v>-0.23391738766836401</v>
      </c>
      <c r="V147" s="50">
        <f t="shared" ref="V147" si="430">+V145/U145-1</f>
        <v>-0.47561223378670714</v>
      </c>
      <c r="W147" s="70">
        <f t="shared" ref="W147" si="431">+W145/V145-1</f>
        <v>-0.39625108280857269</v>
      </c>
      <c r="X147" s="73">
        <f t="shared" ref="X147" si="432">+X145/W145-1</f>
        <v>0.31885373775766657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1" t="s">
        <v>116</v>
      </c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3"/>
      <c r="M149" s="2"/>
      <c r="N149" s="351" t="s">
        <v>117</v>
      </c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3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33">+C150+1</f>
        <v>2018</v>
      </c>
      <c r="E150" s="39">
        <f t="shared" si="433"/>
        <v>2019</v>
      </c>
      <c r="F150" s="39">
        <f t="shared" si="433"/>
        <v>2020</v>
      </c>
      <c r="G150" s="39">
        <f t="shared" si="433"/>
        <v>2021</v>
      </c>
      <c r="H150" s="39">
        <f t="shared" si="433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434">+P150+1</f>
        <v>2018</v>
      </c>
      <c r="R150" s="64">
        <f t="shared" ref="R150" si="435">+Q150+1</f>
        <v>2019</v>
      </c>
      <c r="S150" s="64">
        <f t="shared" ref="S150" si="436">+R150+1</f>
        <v>2020</v>
      </c>
      <c r="T150" s="64">
        <f t="shared" ref="T150" si="437">+S150+1</f>
        <v>2021</v>
      </c>
      <c r="U150" s="64">
        <f t="shared" ref="U150" si="438">+T150+1</f>
        <v>2022</v>
      </c>
      <c r="V150" s="64">
        <f t="shared" ref="V150" si="439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440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441">+SUM(C151)+SUM(B152:B162)</f>
        <v>3.1882619999999999</v>
      </c>
      <c r="Q151" s="6">
        <f t="shared" si="441"/>
        <v>3.3423980000000002</v>
      </c>
      <c r="R151" s="6">
        <f t="shared" si="441"/>
        <v>3.1442750000000004</v>
      </c>
      <c r="S151" s="6">
        <f t="shared" si="441"/>
        <v>2.4815610000000001</v>
      </c>
      <c r="T151" s="6">
        <f t="shared" si="441"/>
        <v>2.6418430000000002</v>
      </c>
      <c r="U151" s="6">
        <f t="shared" si="441"/>
        <v>2.6484890000000001</v>
      </c>
      <c r="V151" s="6">
        <f t="shared" si="441"/>
        <v>2.2045909999999997</v>
      </c>
      <c r="W151" s="67">
        <f t="shared" si="441"/>
        <v>2.1866810000000001</v>
      </c>
      <c r="X151" s="37">
        <f t="shared" si="441"/>
        <v>1.9714530000000001</v>
      </c>
      <c r="Y151" s="78">
        <f t="shared" ref="Y151:Y156" si="442">+X151/W151-1</f>
        <v>-9.8426793848759853E-2</v>
      </c>
      <c r="Z151" s="7">
        <f t="shared" ref="Z151:Z156" si="443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440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444">+SUM(C151:C152)+SUM(B153:B162)</f>
        <v>3.1658709999999997</v>
      </c>
      <c r="Q152" s="6">
        <f t="shared" si="444"/>
        <v>3.3690800000000003</v>
      </c>
      <c r="R152" s="6">
        <f t="shared" si="444"/>
        <v>3.0694710000000001</v>
      </c>
      <c r="S152" s="6">
        <f t="shared" si="444"/>
        <v>2.482977</v>
      </c>
      <c r="T152" s="6">
        <f t="shared" si="444"/>
        <v>2.6889640000000004</v>
      </c>
      <c r="U152" s="6">
        <f t="shared" si="444"/>
        <v>2.7298440000000004</v>
      </c>
      <c r="V152" s="6">
        <f t="shared" si="444"/>
        <v>2.063707</v>
      </c>
      <c r="W152" s="67">
        <f t="shared" ref="W152" si="445">+SUM(J151:J152)+SUM(I153:I162)</f>
        <v>2.189114</v>
      </c>
      <c r="X152" s="67">
        <f t="shared" ref="X152" si="446">+SUM(K151:K152)+SUM(J153:J162)</f>
        <v>1.8913879999999998</v>
      </c>
      <c r="Y152" s="78">
        <f t="shared" si="442"/>
        <v>-0.13600296741055973</v>
      </c>
      <c r="Z152" s="7">
        <f t="shared" si="443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440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447">+SUM(C151:C153)+SUM(B154:B162)</f>
        <v>3.2035419999999997</v>
      </c>
      <c r="Q153" s="6">
        <f t="shared" si="447"/>
        <v>3.3524210000000001</v>
      </c>
      <c r="R153" s="6">
        <f t="shared" si="447"/>
        <v>2.8733130000000005</v>
      </c>
      <c r="S153" s="6">
        <f t="shared" si="447"/>
        <v>2.4279169999999999</v>
      </c>
      <c r="T153" s="6">
        <f t="shared" si="447"/>
        <v>2.7871579999999998</v>
      </c>
      <c r="U153" s="6">
        <f t="shared" si="447"/>
        <v>2.6416620000000002</v>
      </c>
      <c r="V153" s="6">
        <f t="shared" si="447"/>
        <v>2.1600489999999999</v>
      </c>
      <c r="W153" s="67">
        <f t="shared" si="447"/>
        <v>2.0898460000000001</v>
      </c>
      <c r="X153" s="67">
        <f t="shared" ref="X153" si="448">+SUM(K151:K153)+SUM(J154:J162)</f>
        <v>1.947036</v>
      </c>
      <c r="Y153" s="78">
        <f t="shared" si="442"/>
        <v>-6.8335178764368343E-2</v>
      </c>
      <c r="Z153" s="7">
        <f t="shared" si="443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440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449">+SUM(C151:C154)+SUM(B155:B162)</f>
        <v>3.2080579999999999</v>
      </c>
      <c r="Q154" s="6">
        <f t="shared" si="449"/>
        <v>3.1921580000000005</v>
      </c>
      <c r="R154" s="6">
        <f t="shared" si="449"/>
        <v>2.8657890000000004</v>
      </c>
      <c r="S154" s="6">
        <f t="shared" si="449"/>
        <v>2.5863170000000002</v>
      </c>
      <c r="T154" s="6">
        <f t="shared" si="449"/>
        <v>2.609613</v>
      </c>
      <c r="U154" s="6">
        <f t="shared" si="449"/>
        <v>2.6529810000000005</v>
      </c>
      <c r="V154" s="6">
        <f t="shared" ref="V154" si="450">+SUM(I151:I154)+SUM(H155:H162)</f>
        <v>2.0591660000000003</v>
      </c>
      <c r="W154" s="67">
        <f t="shared" ref="W154" si="451">+SUM(J151:J154)+SUM(I155:I162)</f>
        <v>2.1811849999999997</v>
      </c>
      <c r="X154" s="37">
        <f t="shared" ref="X154" si="452">+SUM(K151:K154)+SUM(J155:J162)</f>
        <v>2.0460050000000001</v>
      </c>
      <c r="Y154" s="78">
        <f t="shared" si="442"/>
        <v>-6.1975485802442054E-2</v>
      </c>
      <c r="Z154" s="7">
        <f t="shared" si="443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440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453">+SUM(C151:C155)+SUM(B156:B162)</f>
        <v>3.1456139999999997</v>
      </c>
      <c r="Q155" s="6">
        <f t="shared" si="453"/>
        <v>3.1766160000000001</v>
      </c>
      <c r="R155" s="6">
        <f t="shared" si="453"/>
        <v>2.9676720000000003</v>
      </c>
      <c r="S155" s="6">
        <f t="shared" si="453"/>
        <v>2.612034</v>
      </c>
      <c r="T155" s="6">
        <f t="shared" si="453"/>
        <v>2.7134619999999998</v>
      </c>
      <c r="U155" s="6">
        <f t="shared" si="453"/>
        <v>2.4801739999999999</v>
      </c>
      <c r="V155" s="6">
        <f t="shared" ref="V155" si="454">+SUM(I151:I155)+SUM(H156:H162)</f>
        <v>1.9543950000000001</v>
      </c>
      <c r="W155" s="67">
        <f t="shared" ref="W155" si="455">+SUM(J151:J155)+SUM(I156:I162)</f>
        <v>2.1688749999999999</v>
      </c>
      <c r="X155" s="37">
        <f t="shared" ref="X155" si="456">+SUM(K151:K155)+SUM(J156:J162)</f>
        <v>2.1810969999999998</v>
      </c>
      <c r="Y155" s="78">
        <f t="shared" si="442"/>
        <v>5.6351795285574102E-3</v>
      </c>
      <c r="Z155" s="7">
        <f t="shared" si="443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440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457">+SUM(C151:C156)+SUM(B157:B162)</f>
        <v>3.313761</v>
      </c>
      <c r="Q156" s="6">
        <f t="shared" si="457"/>
        <v>3.0907330000000002</v>
      </c>
      <c r="R156" s="6">
        <f t="shared" si="457"/>
        <v>3.0419299999999998</v>
      </c>
      <c r="S156" s="6">
        <f t="shared" si="457"/>
        <v>2.4788399999999999</v>
      </c>
      <c r="T156" s="6">
        <f t="shared" si="457"/>
        <v>2.8304879999999999</v>
      </c>
      <c r="U156" s="6">
        <f t="shared" si="457"/>
        <v>2.401872</v>
      </c>
      <c r="V156" s="6">
        <f t="shared" ref="V156" si="458">+SUM(I151:I156)+SUM(H157:H162)</f>
        <v>1.8430830000000002</v>
      </c>
      <c r="W156" s="67">
        <f t="shared" ref="W156" si="459">+SUM(J151:J156)+SUM(I157:I162)</f>
        <v>2.2051069999999999</v>
      </c>
      <c r="X156" s="67">
        <f t="shared" ref="X156" si="460">+SUM(K151:K156)+SUM(J157:J162)</f>
        <v>2.2036169999999999</v>
      </c>
      <c r="Y156" s="78">
        <f t="shared" si="442"/>
        <v>-6.7570417217843737E-4</v>
      </c>
      <c r="Z156" s="7">
        <f t="shared" si="443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/>
      <c r="L157" s="7"/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461">+SUM(C151:C157)+SUM(B158:B162)</f>
        <v>3.1673139999999993</v>
      </c>
      <c r="Q157" s="6">
        <f t="shared" si="461"/>
        <v>3.1629750000000003</v>
      </c>
      <c r="R157" s="6">
        <f t="shared" si="461"/>
        <v>2.9705959999999996</v>
      </c>
      <c r="S157" s="6">
        <f t="shared" si="461"/>
        <v>2.6002740000000002</v>
      </c>
      <c r="T157" s="6">
        <f t="shared" si="461"/>
        <v>2.6852299999999998</v>
      </c>
      <c r="U157" s="6">
        <f t="shared" si="461"/>
        <v>2.3607849999999999</v>
      </c>
      <c r="V157" s="6">
        <f t="shared" si="461"/>
        <v>1.902587</v>
      </c>
      <c r="W157" s="67">
        <f t="shared" ref="W157" si="462">+SUM(J151:J157)+SUM(I158:I162)</f>
        <v>2.226496</v>
      </c>
      <c r="X157" s="67"/>
      <c r="Y157" s="78"/>
      <c r="Z157" s="7"/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/>
      <c r="L158" s="7"/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463">+SUM(C151:C158)+SUM(B159:B162)</f>
        <v>3.3364739999999999</v>
      </c>
      <c r="Q158" s="6">
        <f t="shared" si="463"/>
        <v>3.0781640000000001</v>
      </c>
      <c r="R158" s="6">
        <f t="shared" si="463"/>
        <v>2.9077440000000001</v>
      </c>
      <c r="S158" s="6">
        <f t="shared" si="463"/>
        <v>2.5055990000000001</v>
      </c>
      <c r="T158" s="6">
        <f t="shared" si="463"/>
        <v>2.7060810000000002</v>
      </c>
      <c r="U158" s="6">
        <f t="shared" si="463"/>
        <v>2.329456</v>
      </c>
      <c r="V158" s="6">
        <f t="shared" si="463"/>
        <v>1.8575409999999999</v>
      </c>
      <c r="W158" s="67">
        <f t="shared" ref="W158" si="464">+SUM(J151:J158)+SUM(I159:I162)</f>
        <v>2.2317309999999999</v>
      </c>
      <c r="X158" s="67"/>
      <c r="Y158" s="78"/>
      <c r="Z158" s="7"/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/>
      <c r="L159" s="7"/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465">+SUM(C151:C159)+SUM(B160:B162)</f>
        <v>3.4238400000000002</v>
      </c>
      <c r="Q159" s="6">
        <f t="shared" si="465"/>
        <v>3.000537</v>
      </c>
      <c r="R159" s="6">
        <f t="shared" si="465"/>
        <v>2.7208459999999999</v>
      </c>
      <c r="S159" s="6">
        <f t="shared" si="465"/>
        <v>2.4836580000000001</v>
      </c>
      <c r="T159" s="6">
        <f t="shared" si="465"/>
        <v>2.8178520000000002</v>
      </c>
      <c r="U159" s="6">
        <f t="shared" si="465"/>
        <v>2.313078</v>
      </c>
      <c r="V159" s="6">
        <f t="shared" si="465"/>
        <v>1.795717</v>
      </c>
      <c r="W159" s="67">
        <f t="shared" ref="W159" si="466">+SUM(J151:J159)+SUM(I160:I162)</f>
        <v>2.344697</v>
      </c>
      <c r="X159" s="67"/>
      <c r="Y159" s="78"/>
      <c r="Z159" s="7"/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/>
      <c r="L160" s="7"/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467">+SUM(C151:C160)+SUM(B161:B162)</f>
        <v>3.3331499999999998</v>
      </c>
      <c r="Q160" s="6">
        <f t="shared" si="467"/>
        <v>2.991403</v>
      </c>
      <c r="R160" s="6">
        <f t="shared" si="467"/>
        <v>2.779455</v>
      </c>
      <c r="S160" s="6">
        <f t="shared" si="467"/>
        <v>2.4403309999999996</v>
      </c>
      <c r="T160" s="6">
        <f t="shared" si="467"/>
        <v>2.812964</v>
      </c>
      <c r="U160" s="6">
        <f t="shared" si="467"/>
        <v>2.276081</v>
      </c>
      <c r="V160" s="6">
        <f t="shared" ref="V160" si="468">+SUM(I151:I160)+SUM(H161:H162)</f>
        <v>1.963409</v>
      </c>
      <c r="W160" s="67">
        <f t="shared" ref="W160" si="469">+SUM(J151:J160)+SUM(I161:I162)</f>
        <v>2.2442470000000001</v>
      </c>
      <c r="X160" s="67"/>
      <c r="Y160" s="78"/>
      <c r="Z160" s="7"/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470">+SUM(C151:C161)+SUM(B162)</f>
        <v>3.421875</v>
      </c>
      <c r="Q161" s="6">
        <f t="shared" si="470"/>
        <v>3.2402090000000006</v>
      </c>
      <c r="R161" s="6">
        <f t="shared" si="470"/>
        <v>2.483654</v>
      </c>
      <c r="S161" s="6">
        <f t="shared" si="470"/>
        <v>2.5135039999999997</v>
      </c>
      <c r="T161" s="6">
        <f t="shared" si="470"/>
        <v>2.8266900000000001</v>
      </c>
      <c r="U161" s="6">
        <f t="shared" si="470"/>
        <v>2.1497299999999999</v>
      </c>
      <c r="V161" s="6">
        <f t="shared" ref="V161" si="471">+SUM(I151:I161)+SUM(H162)</f>
        <v>2.0582729999999998</v>
      </c>
      <c r="W161" s="67">
        <f t="shared" ref="W161" si="472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473">+SUM(C151:C162)</f>
        <v>3.3374360000000003</v>
      </c>
      <c r="Q162" s="6">
        <f t="shared" si="473"/>
        <v>3.1921630000000003</v>
      </c>
      <c r="R162" s="6">
        <f t="shared" si="473"/>
        <v>2.4307080000000001</v>
      </c>
      <c r="S162" s="6">
        <f t="shared" si="473"/>
        <v>2.4950109999999999</v>
      </c>
      <c r="T162" s="6">
        <f t="shared" si="473"/>
        <v>2.8684940000000001</v>
      </c>
      <c r="U162" s="6">
        <f t="shared" si="473"/>
        <v>2.0782939999999996</v>
      </c>
      <c r="V162" s="6">
        <f t="shared" ref="V162" si="474">+SUM(I151:I162)</f>
        <v>2.3498839999999999</v>
      </c>
      <c r="W162" s="67">
        <f t="shared" ref="W162" si="475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476">SUM(C151:C162)</f>
        <v>3.3374360000000003</v>
      </c>
      <c r="D163" s="159">
        <f t="shared" si="476"/>
        <v>3.1921630000000003</v>
      </c>
      <c r="E163" s="159">
        <f t="shared" si="476"/>
        <v>2.4307080000000001</v>
      </c>
      <c r="F163" s="159">
        <f t="shared" si="476"/>
        <v>2.4950109999999999</v>
      </c>
      <c r="G163" s="159">
        <f t="shared" ref="G163:I163" si="477">SUM(G151:G162)</f>
        <v>2.8684940000000001</v>
      </c>
      <c r="H163" s="159">
        <f t="shared" si="477"/>
        <v>2.0782939999999996</v>
      </c>
      <c r="I163" s="159">
        <f t="shared" si="477"/>
        <v>2.3498839999999999</v>
      </c>
      <c r="J163" s="216">
        <f t="shared" ref="J163" si="478">SUM(J151:J162)</f>
        <v>1.954761</v>
      </c>
      <c r="K163" s="216"/>
      <c r="L163" s="56"/>
      <c r="M163" s="3"/>
      <c r="N163" s="43" t="s">
        <v>14</v>
      </c>
      <c r="O163" s="46">
        <f t="shared" ref="O163" si="479">+AVERAGE(O151:O162)</f>
        <v>3.2511054166666664</v>
      </c>
      <c r="P163" s="46">
        <f>+AVERAGE(P151:P162)</f>
        <v>3.2704330833333324</v>
      </c>
      <c r="Q163" s="46">
        <f t="shared" ref="Q163:X163" si="480">+AVERAGE(Q151:Q162)</f>
        <v>3.1824047500000003</v>
      </c>
      <c r="R163" s="46">
        <f t="shared" si="480"/>
        <v>2.8546210833333334</v>
      </c>
      <c r="S163" s="46">
        <f t="shared" si="480"/>
        <v>2.5090019166666671</v>
      </c>
      <c r="T163" s="46">
        <f t="shared" si="480"/>
        <v>2.7490699166666666</v>
      </c>
      <c r="U163" s="46">
        <f t="shared" si="480"/>
        <v>2.4218705000000003</v>
      </c>
      <c r="V163" s="46">
        <f t="shared" si="480"/>
        <v>2.0177001666666663</v>
      </c>
      <c r="W163" s="68">
        <f t="shared" si="480"/>
        <v>2.1849601666666669</v>
      </c>
      <c r="X163" s="47">
        <f t="shared" si="480"/>
        <v>2.0400993333333335</v>
      </c>
      <c r="Y163" s="79">
        <f>+X163/W163-1</f>
        <v>-6.6299072881649046E-2</v>
      </c>
      <c r="Z163" s="75">
        <f>+POWER(X163/S163,0.2)-1</f>
        <v>-4.0532951379084414E-2</v>
      </c>
    </row>
    <row r="164" spans="1:28" ht="25.5" x14ac:dyDescent="0.25">
      <c r="A164" s="57" t="s">
        <v>15</v>
      </c>
      <c r="B164" s="58">
        <f t="shared" ref="B164:G164" si="481">+B163/B$181</f>
        <v>1.2320367652285842E-2</v>
      </c>
      <c r="C164" s="58">
        <f t="shared" si="481"/>
        <v>1.4870130831546131E-2</v>
      </c>
      <c r="D164" s="58">
        <f t="shared" si="481"/>
        <v>1.1636427382913928E-2</v>
      </c>
      <c r="E164" s="58">
        <f t="shared" si="481"/>
        <v>7.9731765471346763E-3</v>
      </c>
      <c r="F164" s="58">
        <f t="shared" si="481"/>
        <v>6.3833554466800691E-3</v>
      </c>
      <c r="G164" s="58">
        <f t="shared" si="481"/>
        <v>9.9284810744825775E-3</v>
      </c>
      <c r="H164" s="58">
        <f t="shared" ref="H164" si="482">+H163/H$181</f>
        <v>8.4213367864304049E-3</v>
      </c>
      <c r="I164" s="58">
        <f t="shared" ref="I164:J164" si="483">+I163/I$360</f>
        <v>3.6030279194783168E-3</v>
      </c>
      <c r="J164" s="189">
        <f t="shared" si="483"/>
        <v>2.869521369905243E-3</v>
      </c>
      <c r="K164" s="234"/>
      <c r="L164" s="59"/>
      <c r="M164" s="3"/>
      <c r="N164" s="44" t="s">
        <v>15</v>
      </c>
      <c r="O164" s="48">
        <f t="shared" ref="O164:X164" si="484">+O163/O$181</f>
        <v>1.255599712033752E-2</v>
      </c>
      <c r="P164" s="48">
        <f t="shared" si="484"/>
        <v>1.359534622338018E-2</v>
      </c>
      <c r="Q164" s="48">
        <f t="shared" si="484"/>
        <v>1.3504702130052245E-2</v>
      </c>
      <c r="R164" s="48">
        <f t="shared" si="484"/>
        <v>9.635062449976901E-3</v>
      </c>
      <c r="S164" s="48">
        <f t="shared" si="484"/>
        <v>6.7355784194432769E-3</v>
      </c>
      <c r="T164" s="48">
        <f t="shared" si="484"/>
        <v>8.4769375573117769E-3</v>
      </c>
      <c r="U164" s="48">
        <f t="shared" si="484"/>
        <v>8.9492343224737009E-3</v>
      </c>
      <c r="V164" s="48">
        <f t="shared" si="484"/>
        <v>9.6152628900396959E-3</v>
      </c>
      <c r="W164" s="69">
        <f t="shared" si="484"/>
        <v>1.1717264805350942E-2</v>
      </c>
      <c r="X164" s="72">
        <f t="shared" si="484"/>
        <v>1.0460450212759259E-2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485">+D163/C163-1</f>
        <v>-4.3528325337174989E-2</v>
      </c>
      <c r="E165" s="62">
        <f t="shared" si="485"/>
        <v>-0.23853888413592916</v>
      </c>
      <c r="F165" s="62">
        <f t="shared" si="485"/>
        <v>2.6454432206583389E-2</v>
      </c>
      <c r="G165" s="62">
        <f t="shared" si="485"/>
        <v>0.14969192520594099</v>
      </c>
      <c r="H165" s="62">
        <f t="shared" si="485"/>
        <v>-0.27547556313522026</v>
      </c>
      <c r="I165" s="62">
        <f t="shared" si="485"/>
        <v>0.13067929753923191</v>
      </c>
      <c r="J165" s="190">
        <f t="shared" si="485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486">+Q163/P163-1</f>
        <v>-2.6916414765352892E-2</v>
      </c>
      <c r="R165" s="50">
        <f t="shared" ref="R165" si="487">+R163/Q163-1</f>
        <v>-0.10299873599254361</v>
      </c>
      <c r="S165" s="50">
        <f t="shared" ref="S165" si="488">+S163/R163-1</f>
        <v>-0.12107357038892452</v>
      </c>
      <c r="T165" s="50">
        <f t="shared" ref="T165" si="489">+T163/S163-1</f>
        <v>9.5682669034761636E-2</v>
      </c>
      <c r="U165" s="50">
        <f t="shared" ref="U165" si="490">+U163/T163-1</f>
        <v>-0.11902186069658272</v>
      </c>
      <c r="V165" s="50">
        <f t="shared" ref="V165" si="491">+V163/U163-1</f>
        <v>-0.16688354448899478</v>
      </c>
      <c r="W165" s="70">
        <f t="shared" ref="W165" si="492">+W163/V163-1</f>
        <v>8.2896360303286176E-2</v>
      </c>
      <c r="X165" s="73">
        <f t="shared" ref="X165" si="493">+X163/W163-1</f>
        <v>-6.6299072881649046E-2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54" t="s">
        <v>63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6"/>
      <c r="M167" s="2"/>
      <c r="N167" s="354" t="s">
        <v>64</v>
      </c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6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494">+C168+1</f>
        <v>2018</v>
      </c>
      <c r="E168" s="39">
        <f t="shared" si="494"/>
        <v>2019</v>
      </c>
      <c r="F168" s="39">
        <f t="shared" si="494"/>
        <v>2020</v>
      </c>
      <c r="G168" s="39">
        <f t="shared" si="494"/>
        <v>2021</v>
      </c>
      <c r="H168" s="39">
        <f t="shared" ref="H168" si="495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496">+P168+1</f>
        <v>2018</v>
      </c>
      <c r="R168" s="64">
        <f t="shared" ref="R168" si="497">+Q168+1</f>
        <v>2019</v>
      </c>
      <c r="S168" s="64">
        <f t="shared" ref="S168" si="498">+R168+1</f>
        <v>2020</v>
      </c>
      <c r="T168" s="64">
        <f t="shared" ref="T168" si="499">+S168+1</f>
        <v>2021</v>
      </c>
      <c r="U168" s="64">
        <f t="shared" ref="U168" si="500">+T168+1</f>
        <v>2022</v>
      </c>
      <c r="V168" s="64">
        <f t="shared" ref="V168" si="501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02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03">+SUM(C169)+SUM(B170:B180)</f>
        <v>259.055971</v>
      </c>
      <c r="Q169" s="6">
        <f t="shared" si="503"/>
        <v>220.58967700000005</v>
      </c>
      <c r="R169" s="6">
        <f t="shared" si="503"/>
        <v>281.481919</v>
      </c>
      <c r="S169" s="6">
        <f t="shared" si="503"/>
        <v>319.63031000000001</v>
      </c>
      <c r="T169" s="6">
        <f t="shared" si="503"/>
        <v>373.95958499999995</v>
      </c>
      <c r="U169" s="6">
        <f t="shared" si="503"/>
        <v>283.72492499999998</v>
      </c>
      <c r="V169" s="6">
        <f t="shared" si="503"/>
        <v>246.74807699999997</v>
      </c>
      <c r="W169" s="67">
        <f t="shared" si="503"/>
        <v>182.48292899999998</v>
      </c>
      <c r="X169" s="37">
        <f t="shared" si="503"/>
        <v>193.66127900000001</v>
      </c>
      <c r="Y169" s="78">
        <f t="shared" ref="Y169:Y174" si="504">+X169/W169-1</f>
        <v>6.1256962836233386E-2</v>
      </c>
      <c r="Z169" s="7">
        <f t="shared" ref="Z169:Z174" si="505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02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06">+SUM(C169:C170)+SUM(B171:B180)</f>
        <v>254.318804</v>
      </c>
      <c r="Q170" s="6">
        <f t="shared" si="506"/>
        <v>219.71133000000003</v>
      </c>
      <c r="R170" s="6">
        <f t="shared" si="506"/>
        <v>288.09202700000003</v>
      </c>
      <c r="S170" s="6">
        <f t="shared" si="506"/>
        <v>339.61014</v>
      </c>
      <c r="T170" s="6">
        <f t="shared" si="506"/>
        <v>354.57125600000001</v>
      </c>
      <c r="U170" s="6">
        <f t="shared" si="506"/>
        <v>283.721047</v>
      </c>
      <c r="V170" s="6">
        <f t="shared" si="506"/>
        <v>238.46794799999998</v>
      </c>
      <c r="W170" s="67">
        <f t="shared" si="506"/>
        <v>181.62638199999998</v>
      </c>
      <c r="X170" s="67">
        <f>+SUM(K169:K170)+SUM(J171:J180)</f>
        <v>194.18433599999997</v>
      </c>
      <c r="Y170" s="78">
        <f t="shared" si="504"/>
        <v>6.9141684493830846E-2</v>
      </c>
      <c r="Z170" s="7">
        <f t="shared" si="505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02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07">+SUM(C169:C171)+SUM(B172:B180)</f>
        <v>250.01084399999999</v>
      </c>
      <c r="Q171" s="6">
        <f t="shared" si="507"/>
        <v>221.41861100000003</v>
      </c>
      <c r="R171" s="6">
        <f t="shared" si="507"/>
        <v>290.77498600000001</v>
      </c>
      <c r="S171" s="6">
        <f t="shared" si="507"/>
        <v>354.38986399999999</v>
      </c>
      <c r="T171" s="6">
        <f t="shared" si="507"/>
        <v>345.04921300000001</v>
      </c>
      <c r="U171" s="6">
        <f t="shared" si="507"/>
        <v>279.76810499999999</v>
      </c>
      <c r="V171" s="6">
        <f t="shared" si="507"/>
        <v>232.19155499999999</v>
      </c>
      <c r="W171" s="67">
        <f t="shared" si="507"/>
        <v>181.14049300000002</v>
      </c>
      <c r="X171" s="67">
        <f t="shared" ref="X171" si="508">+SUM(K169:K171)+SUM(J172:J180)</f>
        <v>194.75107099999997</v>
      </c>
      <c r="Y171" s="78">
        <f t="shared" si="504"/>
        <v>7.5138240901221121E-2</v>
      </c>
      <c r="Z171" s="7">
        <f t="shared" si="505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02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09">+SUM(C169:C172)+SUM(B173:B180)</f>
        <v>246.050648</v>
      </c>
      <c r="Q172" s="6">
        <f t="shared" si="509"/>
        <v>223.39607700000002</v>
      </c>
      <c r="R172" s="6">
        <f t="shared" si="509"/>
        <v>294.86346400000002</v>
      </c>
      <c r="S172" s="6">
        <f t="shared" si="509"/>
        <v>358.17463999999995</v>
      </c>
      <c r="T172" s="6">
        <f t="shared" si="509"/>
        <v>339.38110899999998</v>
      </c>
      <c r="U172" s="6">
        <f t="shared" si="509"/>
        <v>280.67388400000004</v>
      </c>
      <c r="V172" s="6">
        <f t="shared" ref="V172" si="510">+SUM(I169:I172)+SUM(H173:H180)</f>
        <v>225.58339599999999</v>
      </c>
      <c r="W172" s="67">
        <f t="shared" ref="W172" si="511">+SUM(J169:J172)+SUM(I173:I180)</f>
        <v>180.84667099999999</v>
      </c>
      <c r="X172" s="37">
        <f t="shared" ref="X172" si="512">+SUM(K169:K172)+SUM(J173:J180)</f>
        <v>194.16846999999996</v>
      </c>
      <c r="Y172" s="78">
        <f t="shared" si="504"/>
        <v>7.3663501386763031E-2</v>
      </c>
      <c r="Z172" s="7">
        <f t="shared" si="505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02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13">+SUM(C169:C173)+SUM(B174:B180)</f>
        <v>240.066058</v>
      </c>
      <c r="Q173" s="6">
        <f t="shared" si="513"/>
        <v>224.07953499999999</v>
      </c>
      <c r="R173" s="6">
        <f t="shared" si="513"/>
        <v>300.02586400000001</v>
      </c>
      <c r="S173" s="6">
        <f t="shared" si="513"/>
        <v>368.87575100000004</v>
      </c>
      <c r="T173" s="6">
        <f t="shared" si="513"/>
        <v>335.944118</v>
      </c>
      <c r="U173" s="6">
        <f t="shared" si="513"/>
        <v>274.45466799999997</v>
      </c>
      <c r="V173" s="6">
        <f t="shared" ref="V173" si="514">+SUM(I169:I173)+SUM(H174:H180)</f>
        <v>217.18349000000001</v>
      </c>
      <c r="W173" s="67">
        <f t="shared" ref="W173" si="515">+SUM(J169:J173)+SUM(I174:I180)</f>
        <v>181.22745600000002</v>
      </c>
      <c r="X173" s="37">
        <f t="shared" ref="X173" si="516">+SUM(K169:K173)+SUM(J174:J180)</f>
        <v>194.03278399999999</v>
      </c>
      <c r="Y173" s="78">
        <f t="shared" si="504"/>
        <v>7.0658874116734216E-2</v>
      </c>
      <c r="Z173" s="7">
        <f t="shared" si="505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02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17">+SUM(C169:C174)+SUM(B175:B180)</f>
        <v>242.20727899999997</v>
      </c>
      <c r="Q174" s="6">
        <f t="shared" si="517"/>
        <v>220.21077300000002</v>
      </c>
      <c r="R174" s="6">
        <f t="shared" si="517"/>
        <v>302.07805800000006</v>
      </c>
      <c r="S174" s="6">
        <f t="shared" si="517"/>
        <v>376.22332</v>
      </c>
      <c r="T174" s="6">
        <f t="shared" si="517"/>
        <v>332.23613</v>
      </c>
      <c r="U174" s="6">
        <f t="shared" si="517"/>
        <v>274.009365</v>
      </c>
      <c r="V174" s="6">
        <f t="shared" ref="V174" si="518">+SUM(I169:I174)+SUM(H175:H180)</f>
        <v>207.98465100000001</v>
      </c>
      <c r="W174" s="67">
        <f t="shared" ref="W174" si="519">+SUM(J169:J174)+SUM(I175:I180)</f>
        <v>178.03922800000001</v>
      </c>
      <c r="X174" s="67">
        <f t="shared" ref="X174" si="520">+SUM(K169:K174)+SUM(J175:J180)</f>
        <v>199.38075700000002</v>
      </c>
      <c r="Y174" s="78">
        <f t="shared" si="504"/>
        <v>0.11986981318521561</v>
      </c>
      <c r="Z174" s="7">
        <f t="shared" si="505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/>
      <c r="L175" s="7"/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21">+SUM(C169:C175)+SUM(B176:B180)</f>
        <v>242.06469899999999</v>
      </c>
      <c r="Q175" s="6">
        <f t="shared" si="521"/>
        <v>222.04240599999997</v>
      </c>
      <c r="R175" s="6">
        <f t="shared" si="521"/>
        <v>306.92342299999996</v>
      </c>
      <c r="S175" s="6">
        <f t="shared" si="521"/>
        <v>379.55647699999997</v>
      </c>
      <c r="T175" s="6">
        <f t="shared" si="521"/>
        <v>325.73356799999999</v>
      </c>
      <c r="U175" s="6">
        <f t="shared" si="521"/>
        <v>265.78592300000003</v>
      </c>
      <c r="V175" s="6">
        <f t="shared" si="521"/>
        <v>207.54356999999999</v>
      </c>
      <c r="W175" s="67">
        <f t="shared" ref="W175" si="522">+SUM(J169:J175)+SUM(I176:I180)</f>
        <v>186.35934500000002</v>
      </c>
      <c r="X175" s="67"/>
      <c r="Y175" s="78"/>
      <c r="Z175" s="7"/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/>
      <c r="L176" s="7"/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523">+SUM(C169:C176)+SUM(B177:B180)</f>
        <v>238.15090000000001</v>
      </c>
      <c r="Q176" s="6">
        <f t="shared" si="523"/>
        <v>229.09731299999999</v>
      </c>
      <c r="R176" s="6">
        <f t="shared" si="523"/>
        <v>305.88414599999999</v>
      </c>
      <c r="S176" s="6">
        <f t="shared" si="523"/>
        <v>391.88705100000004</v>
      </c>
      <c r="T176" s="6">
        <f t="shared" si="523"/>
        <v>305.26526999999999</v>
      </c>
      <c r="U176" s="6">
        <f t="shared" si="523"/>
        <v>270.84530799999999</v>
      </c>
      <c r="V176" s="6">
        <f t="shared" si="523"/>
        <v>196.734824</v>
      </c>
      <c r="W176" s="67">
        <f t="shared" ref="W176" si="524">+SUM(J169:J176)+SUM(I177:I180)</f>
        <v>192.30607800000001</v>
      </c>
      <c r="X176" s="67"/>
      <c r="Y176" s="78"/>
      <c r="Z176" s="7"/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/>
      <c r="L177" s="7"/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525">+SUM(C169:C177)+SUM(B178:B180)</f>
        <v>233.14478400000002</v>
      </c>
      <c r="Q177" s="6">
        <f t="shared" si="525"/>
        <v>246.906971</v>
      </c>
      <c r="R177" s="6">
        <f t="shared" si="525"/>
        <v>295.26413500000001</v>
      </c>
      <c r="S177" s="6">
        <f t="shared" si="525"/>
        <v>393.01795400000003</v>
      </c>
      <c r="T177" s="6">
        <f t="shared" si="525"/>
        <v>303.07212200000004</v>
      </c>
      <c r="U177" s="6">
        <f t="shared" si="525"/>
        <v>268.83706000000001</v>
      </c>
      <c r="V177" s="6">
        <f t="shared" si="525"/>
        <v>189.92894899999999</v>
      </c>
      <c r="W177" s="67">
        <f t="shared" ref="W177" si="526">+SUM(J169:J177)+SUM(I178:I180)</f>
        <v>193.09485599999999</v>
      </c>
      <c r="X177" s="67"/>
      <c r="Y177" s="78"/>
      <c r="Z177" s="7"/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/>
      <c r="L178" s="7"/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527">+SUM(C169:C178)+SUM(B179:B180)</f>
        <v>229.79987100000002</v>
      </c>
      <c r="Q178" s="6">
        <f t="shared" si="527"/>
        <v>259.24640600000004</v>
      </c>
      <c r="R178" s="6">
        <f t="shared" si="527"/>
        <v>291.85739000000001</v>
      </c>
      <c r="S178" s="6">
        <f t="shared" si="527"/>
        <v>395.17814500000003</v>
      </c>
      <c r="T178" s="6">
        <f t="shared" si="527"/>
        <v>297.336524</v>
      </c>
      <c r="U178" s="6">
        <f t="shared" si="527"/>
        <v>264.36860799999999</v>
      </c>
      <c r="V178" s="6">
        <f t="shared" ref="V178" si="528">+SUM(I169:I178)+SUM(H179:H180)</f>
        <v>186.26324</v>
      </c>
      <c r="W178" s="67">
        <f t="shared" ref="W178" si="529">+SUM(J169:J178)+SUM(I179:I180)</f>
        <v>191.575591</v>
      </c>
      <c r="X178" s="67"/>
      <c r="Y178" s="78"/>
      <c r="Z178" s="7"/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530">+SUM(C169:C179)+SUM(B180)</f>
        <v>227.35526500000003</v>
      </c>
      <c r="Q179" s="6">
        <f t="shared" si="530"/>
        <v>266.79517200000004</v>
      </c>
      <c r="R179" s="6">
        <f t="shared" si="530"/>
        <v>293.18513799999999</v>
      </c>
      <c r="S179" s="6">
        <f t="shared" si="530"/>
        <v>402.59249900000003</v>
      </c>
      <c r="T179" s="6">
        <f t="shared" si="530"/>
        <v>290.13409000000001</v>
      </c>
      <c r="U179" s="6">
        <f t="shared" si="530"/>
        <v>254.50051599999998</v>
      </c>
      <c r="V179" s="6">
        <f t="shared" ref="V179" si="531">+SUM(I169:I179)+SUM(H180)</f>
        <v>184.525218</v>
      </c>
      <c r="W179" s="67">
        <f t="shared" ref="W179" si="532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533">+SUM(C169:C180)</f>
        <v>224.43891300000004</v>
      </c>
      <c r="Q180" s="6">
        <f t="shared" si="533"/>
        <v>274.32500500000003</v>
      </c>
      <c r="R180" s="6">
        <f t="shared" si="533"/>
        <v>304.86067700000001</v>
      </c>
      <c r="S180" s="6">
        <f t="shared" si="533"/>
        <v>390.861988</v>
      </c>
      <c r="T180" s="6">
        <f t="shared" si="533"/>
        <v>288.91569400000003</v>
      </c>
      <c r="U180" s="6">
        <f t="shared" si="533"/>
        <v>246.78908499999997</v>
      </c>
      <c r="V180" s="6">
        <f t="shared" si="533"/>
        <v>184.966768</v>
      </c>
      <c r="W180" s="67">
        <f t="shared" si="533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534">SUM(C169:C180)</f>
        <v>224.43891300000004</v>
      </c>
      <c r="D181" s="159">
        <f t="shared" si="534"/>
        <v>274.32500500000003</v>
      </c>
      <c r="E181" s="159">
        <f t="shared" si="534"/>
        <v>304.86067700000001</v>
      </c>
      <c r="F181" s="159">
        <f t="shared" si="534"/>
        <v>390.861988</v>
      </c>
      <c r="G181" s="159">
        <f t="shared" ref="G181:H181" si="535">SUM(G169:G180)</f>
        <v>288.91569400000003</v>
      </c>
      <c r="H181" s="159">
        <f t="shared" si="535"/>
        <v>246.78908499999997</v>
      </c>
      <c r="I181" s="159">
        <f t="shared" ref="I181:J181" si="536">SUM(I169:I180)</f>
        <v>184.966768</v>
      </c>
      <c r="J181" s="216">
        <f t="shared" si="536"/>
        <v>195.32641699999999</v>
      </c>
      <c r="K181" s="216"/>
      <c r="L181" s="56"/>
      <c r="M181" s="3"/>
      <c r="N181" s="43" t="s">
        <v>14</v>
      </c>
      <c r="O181" s="46">
        <f t="shared" ref="O181" si="537">+AVERAGE(O169:O180)</f>
        <v>258.92849333333334</v>
      </c>
      <c r="P181" s="46">
        <f>+AVERAGE(P169:P180)</f>
        <v>240.55533633333334</v>
      </c>
      <c r="Q181" s="46">
        <f t="shared" ref="Q181:X181" si="538">+AVERAGE(Q169:Q180)</f>
        <v>235.65160633333338</v>
      </c>
      <c r="R181" s="46">
        <f t="shared" si="538"/>
        <v>296.27426891666664</v>
      </c>
      <c r="S181" s="46">
        <f t="shared" si="538"/>
        <v>372.49984491666663</v>
      </c>
      <c r="T181" s="46">
        <f t="shared" si="538"/>
        <v>324.29988991666664</v>
      </c>
      <c r="U181" s="46">
        <f t="shared" si="538"/>
        <v>270.62320783333331</v>
      </c>
      <c r="V181" s="46">
        <f t="shared" si="538"/>
        <v>209.84347383333338</v>
      </c>
      <c r="W181" s="68">
        <f t="shared" si="538"/>
        <v>186.47356725</v>
      </c>
      <c r="X181" s="47">
        <f t="shared" si="538"/>
        <v>195.02978283333331</v>
      </c>
      <c r="Y181" s="79">
        <f>+X181/W181-1</f>
        <v>4.5884334758621526E-2</v>
      </c>
      <c r="Z181" s="75">
        <f>+POWER(X181/S181,0.2)-1</f>
        <v>-0.12139237458102348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539">+D181/C181-1</f>
        <v>0.22227024419780528</v>
      </c>
      <c r="E182" s="62">
        <f t="shared" si="539"/>
        <v>0.11131202567553022</v>
      </c>
      <c r="F182" s="62">
        <f t="shared" si="539"/>
        <v>0.28210037400133436</v>
      </c>
      <c r="G182" s="62">
        <f t="shared" si="539"/>
        <v>-0.26082427334939506</v>
      </c>
      <c r="H182" s="62">
        <f t="shared" si="539"/>
        <v>-0.14580934810692581</v>
      </c>
      <c r="I182" s="62">
        <f t="shared" si="539"/>
        <v>-0.25050669076389653</v>
      </c>
      <c r="J182" s="190">
        <f t="shared" si="539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540">+Q181/P181-1</f>
        <v>-2.038503936243985E-2</v>
      </c>
      <c r="R182" s="50">
        <f t="shared" si="540"/>
        <v>0.25725546083306328</v>
      </c>
      <c r="S182" s="50">
        <f t="shared" si="540"/>
        <v>0.25728044584742538</v>
      </c>
      <c r="T182" s="50">
        <f t="shared" si="540"/>
        <v>-0.12939590622053276</v>
      </c>
      <c r="U182" s="50">
        <f t="shared" si="540"/>
        <v>-0.16551557293814156</v>
      </c>
      <c r="V182" s="50">
        <f t="shared" si="540"/>
        <v>-0.22459172842793251</v>
      </c>
      <c r="W182" s="70">
        <f t="shared" si="540"/>
        <v>-0.11136827920555081</v>
      </c>
      <c r="X182" s="70">
        <f t="shared" si="540"/>
        <v>4.5884334758621526E-2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541">+C185+1</f>
        <v>2018</v>
      </c>
      <c r="E185" s="82">
        <f t="shared" si="541"/>
        <v>2019</v>
      </c>
      <c r="F185" s="82">
        <f t="shared" si="541"/>
        <v>2020</v>
      </c>
      <c r="G185" s="82">
        <f t="shared" si="541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542">+P185+1</f>
        <v>2018</v>
      </c>
      <c r="R185" s="82">
        <f t="shared" si="542"/>
        <v>2019</v>
      </c>
      <c r="S185" s="82">
        <f t="shared" si="542"/>
        <v>2020</v>
      </c>
      <c r="T185" s="82">
        <f t="shared" si="542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543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544">+SUM(D186)+SUM(C187:C197)</f>
        <v>264.96899999999999</v>
      </c>
      <c r="R186" s="6">
        <f t="shared" ref="R186:X186" si="545">+SUM(E186)+SUM(D187:D197)</f>
        <v>257.49799999999999</v>
      </c>
      <c r="S186" s="6">
        <f t="shared" si="545"/>
        <v>242.83399999999997</v>
      </c>
      <c r="T186" s="6">
        <f t="shared" si="545"/>
        <v>225.37899999999999</v>
      </c>
      <c r="U186" s="6">
        <f t="shared" si="545"/>
        <v>239.07100000000003</v>
      </c>
      <c r="V186" s="6">
        <f t="shared" si="545"/>
        <v>238.06099999999998</v>
      </c>
      <c r="W186" s="105">
        <f t="shared" si="545"/>
        <v>179.255</v>
      </c>
      <c r="X186" s="105">
        <f t="shared" si="545"/>
        <v>191.84199999999998</v>
      </c>
      <c r="Y186" s="117">
        <f t="shared" ref="Y186:Y191" si="546">+X186/W186-1</f>
        <v>7.0218403949680486E-2</v>
      </c>
      <c r="Z186" s="113">
        <f t="shared" ref="Z186:Z191" si="547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543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548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549">+SUM(J186:J187)+SUM(I188:I197)</f>
        <v>178.76599999999999</v>
      </c>
      <c r="X187" s="105">
        <f t="shared" ref="X187" si="550">+SUM(K186:K187)+SUM(J188:J197)</f>
        <v>192.93100000000001</v>
      </c>
      <c r="Y187" s="117">
        <f t="shared" si="546"/>
        <v>7.9237662642784645E-2</v>
      </c>
      <c r="Z187" s="113">
        <f t="shared" si="547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543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551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552">+SUM(I186:I188)+SUM(H189:H197)</f>
        <v>228.36700000000002</v>
      </c>
      <c r="W188" s="105">
        <f t="shared" ref="W188" si="553">+SUM(J186:J188)+SUM(I189:I197)</f>
        <v>181.495</v>
      </c>
      <c r="X188" s="105">
        <f t="shared" ref="X188" si="554">+SUM(K186:K188)+SUM(J189:J197)</f>
        <v>194.92199999999997</v>
      </c>
      <c r="Y188" s="117">
        <f t="shared" si="546"/>
        <v>7.397999944902045E-2</v>
      </c>
      <c r="Z188" s="113">
        <f t="shared" si="547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543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555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556">+SUM(I186:I189)+SUM(H190:H197)</f>
        <v>223.06899999999999</v>
      </c>
      <c r="W189" s="67">
        <f t="shared" ref="W189" si="557">+SUM(J186:J189)+SUM(I190:I197)</f>
        <v>181.50200000000001</v>
      </c>
      <c r="X189" s="37">
        <f t="shared" ref="X189" si="558">+SUM(K186:K189)+SUM(J190:J197)</f>
        <v>190.49900000000002</v>
      </c>
      <c r="Y189" s="78">
        <f t="shared" si="546"/>
        <v>4.9569701711275949E-2</v>
      </c>
      <c r="Z189" s="7">
        <f t="shared" si="547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543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559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560">+SUM(I186:I190)+SUM(H191:H197)</f>
        <v>208.20699999999999</v>
      </c>
      <c r="W190" s="105">
        <f t="shared" ref="W190" si="561">+SUM(J186:J190)+SUM(I191:I197)</f>
        <v>183.16699999999997</v>
      </c>
      <c r="X190" s="105">
        <f t="shared" ref="X190" si="562">+SUM(K186:K190)+SUM(J191:J197)</f>
        <v>185.91900000000001</v>
      </c>
      <c r="Y190" s="117">
        <f t="shared" si="546"/>
        <v>1.5024540446696433E-2</v>
      </c>
      <c r="Z190" s="113">
        <f t="shared" si="547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543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563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564">+SUM(I186:I191)+SUM(H192:H197)</f>
        <v>198.72399999999999</v>
      </c>
      <c r="W191" s="105">
        <f t="shared" ref="W191" si="565">+SUM(J186:J191)+SUM(I192:I197)</f>
        <v>178.88399999999999</v>
      </c>
      <c r="X191" s="105">
        <f t="shared" ref="X191" si="566">+SUM(K186:K191)+SUM(J192:J197)</f>
        <v>190.85899999999998</v>
      </c>
      <c r="Y191" s="117">
        <f t="shared" si="546"/>
        <v>6.6942823282126973E-2</v>
      </c>
      <c r="Z191" s="113">
        <f t="shared" si="547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/>
      <c r="L192" s="91"/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567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568">+SUM(I186:I192)+SUM(H193:H197)</f>
        <v>198.529</v>
      </c>
      <c r="W192" s="105">
        <f t="shared" ref="W192" si="569">+SUM(J186:J192)+SUM(I193:I197)</f>
        <v>189.20799999999997</v>
      </c>
      <c r="X192" s="105"/>
      <c r="Y192" s="117"/>
      <c r="Z192" s="113"/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/>
      <c r="L193" s="91"/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570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571">+SUM(I186:I193)+SUM(H194:H197)</f>
        <v>186.11199999999999</v>
      </c>
      <c r="W193" s="105">
        <f t="shared" ref="W193" si="572">+SUM(J186:J193)+SUM(I194:I197)</f>
        <v>195.03699999999998</v>
      </c>
      <c r="X193" s="105"/>
      <c r="Y193" s="117"/>
      <c r="Z193" s="113"/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/>
      <c r="L194" s="91"/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573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574">+SUM(I186:I194)+SUM(H195:H197)</f>
        <v>184.00799999999998</v>
      </c>
      <c r="W194" s="105">
        <f t="shared" ref="W194" si="575">+SUM(J186:J194)+SUM(I195:I197)</f>
        <v>192.41200000000001</v>
      </c>
      <c r="X194" s="105"/>
      <c r="Y194" s="117"/>
      <c r="Z194" s="113"/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/>
      <c r="L195" s="91"/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576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577">+SUM(I186:I195)+SUM(H196:H197)</f>
        <v>180.02699999999999</v>
      </c>
      <c r="W195" s="105">
        <f t="shared" ref="W195" si="578">+SUM(J186:J195)+SUM(I196:I197)</f>
        <v>191.565</v>
      </c>
      <c r="X195" s="105"/>
      <c r="Y195" s="117"/>
      <c r="Z195" s="113"/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579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580">+SUM(I186:I196)+SUM(H197)</f>
        <v>181.863</v>
      </c>
      <c r="W196" s="105">
        <f t="shared" ref="W196" si="581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582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583">+SUM(I186:I197)</f>
        <v>180.32899999999998</v>
      </c>
      <c r="W197" s="105">
        <f t="shared" ref="W197" si="584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585">SUM(C186:C197)</f>
        <v>269.83999999999997</v>
      </c>
      <c r="D198" s="83">
        <f t="shared" si="585"/>
        <v>260.35500000000002</v>
      </c>
      <c r="E198" s="83">
        <f t="shared" si="585"/>
        <v>244.32699999999997</v>
      </c>
      <c r="F198" s="83">
        <f t="shared" si="585"/>
        <v>225.197</v>
      </c>
      <c r="G198" s="83">
        <f t="shared" ref="G198" si="586">SUM(G186:G197)</f>
        <v>240.30900000000003</v>
      </c>
      <c r="H198" s="83">
        <f t="shared" ref="H198" si="587">SUM(H186:H197)</f>
        <v>235.803</v>
      </c>
      <c r="I198" s="83">
        <f t="shared" ref="I198:J198" si="588">SUM(I186:I197)</f>
        <v>180.32899999999998</v>
      </c>
      <c r="J198" s="107">
        <f t="shared" si="588"/>
        <v>197.34899999999999</v>
      </c>
      <c r="K198" s="83"/>
      <c r="L198" s="94"/>
      <c r="M198" s="3"/>
      <c r="N198" s="92" t="s">
        <v>14</v>
      </c>
      <c r="O198" s="106">
        <f t="shared" ref="O198" si="589">+AVERAGE(O186:O197)</f>
        <v>288.50166666666672</v>
      </c>
      <c r="P198" s="83">
        <f>+AVERAGE(P186:P197)</f>
        <v>278.32033333333339</v>
      </c>
      <c r="Q198" s="83">
        <f t="shared" ref="Q198:T198" si="590">+AVERAGE(Q186:Q197)</f>
        <v>263.06733333333335</v>
      </c>
      <c r="R198" s="83">
        <f t="shared" si="590"/>
        <v>253.63441666666665</v>
      </c>
      <c r="S198" s="83">
        <f t="shared" si="590"/>
        <v>234.98575000000002</v>
      </c>
      <c r="T198" s="83">
        <f t="shared" si="590"/>
        <v>230.03441666666666</v>
      </c>
      <c r="U198" s="83">
        <f t="shared" ref="U198:X198" si="591">+AVERAGE(U186:U197)</f>
        <v>243.90733333333336</v>
      </c>
      <c r="V198" s="83">
        <f t="shared" si="591"/>
        <v>203.20541666666668</v>
      </c>
      <c r="W198" s="107">
        <f t="shared" si="591"/>
        <v>186.73066666666668</v>
      </c>
      <c r="X198" s="107">
        <f t="shared" si="591"/>
        <v>191.16200000000001</v>
      </c>
      <c r="Y198" s="119">
        <f>+X198/W198-1</f>
        <v>2.3731149320233014E-2</v>
      </c>
      <c r="Z198" s="173">
        <f>+POWER(X198/S198,0.2)-1</f>
        <v>-4.0440282745935474E-2</v>
      </c>
    </row>
    <row r="199" spans="1:26" ht="25.5" x14ac:dyDescent="0.25">
      <c r="A199" s="95" t="s">
        <v>15</v>
      </c>
      <c r="B199" s="108">
        <f t="shared" ref="B199:G199" si="592">+B198/B$360</f>
        <v>0.36737199844275281</v>
      </c>
      <c r="C199" s="84">
        <f t="shared" si="592"/>
        <v>0.33481982216729572</v>
      </c>
      <c r="D199" s="84">
        <f t="shared" si="592"/>
        <v>0.31586513964040475</v>
      </c>
      <c r="E199" s="84">
        <f t="shared" si="592"/>
        <v>0.30690722452373709</v>
      </c>
      <c r="F199" s="84">
        <f t="shared" si="592"/>
        <v>0.28864601171005816</v>
      </c>
      <c r="G199" s="84">
        <f t="shared" si="592"/>
        <v>0.29078595180128075</v>
      </c>
      <c r="H199" s="84">
        <f t="shared" ref="H199" si="593">+H198/H$360</f>
        <v>0.29941717246108135</v>
      </c>
      <c r="I199" s="84">
        <f t="shared" ref="I199:J199" si="594">+I198/I$360</f>
        <v>0.27649467875503869</v>
      </c>
      <c r="J199" s="109">
        <f t="shared" si="594"/>
        <v>0.2897014892508239</v>
      </c>
      <c r="K199" s="84"/>
      <c r="L199" s="97"/>
      <c r="M199" s="3"/>
      <c r="N199" s="95" t="s">
        <v>15</v>
      </c>
      <c r="O199" s="108">
        <f t="shared" ref="O199:T199" si="595">+O198/O$360</f>
        <v>0.35844170903853911</v>
      </c>
      <c r="P199" s="84">
        <f t="shared" si="595"/>
        <v>0.34336834791706028</v>
      </c>
      <c r="Q199" s="84">
        <f t="shared" si="595"/>
        <v>0.32473830333513248</v>
      </c>
      <c r="R199" s="84">
        <f t="shared" si="595"/>
        <v>0.31044154603227897</v>
      </c>
      <c r="S199" s="84">
        <f t="shared" si="595"/>
        <v>0.298907712265436</v>
      </c>
      <c r="T199" s="84">
        <f t="shared" si="595"/>
        <v>0.28687537815637815</v>
      </c>
      <c r="U199" s="84">
        <f t="shared" ref="U199:V199" si="596">+U198/U$360</f>
        <v>0.29800703352020153</v>
      </c>
      <c r="V199" s="84">
        <f t="shared" si="596"/>
        <v>0.2852555006495987</v>
      </c>
      <c r="W199" s="109">
        <f t="shared" ref="W199:X199" si="597">+W198/W$360</f>
        <v>0.28550292578423331</v>
      </c>
      <c r="X199" s="109">
        <f t="shared" si="597"/>
        <v>0.28076673956498938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598">+D198/C198-1</f>
        <v>-3.5150459531574141E-2</v>
      </c>
      <c r="E200" s="85">
        <f t="shared" si="598"/>
        <v>-6.1562097904784063E-2</v>
      </c>
      <c r="F200" s="85">
        <f t="shared" si="598"/>
        <v>-7.829670891878493E-2</v>
      </c>
      <c r="G200" s="85">
        <f t="shared" si="598"/>
        <v>6.71056896850315E-2</v>
      </c>
      <c r="H200" s="85">
        <f t="shared" si="598"/>
        <v>-1.8750858269977466E-2</v>
      </c>
      <c r="I200" s="85">
        <f t="shared" si="598"/>
        <v>-0.23525570073323931</v>
      </c>
      <c r="J200" s="111">
        <f t="shared" si="598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599">+Q198/P198-1</f>
        <v>-5.480375730123932E-2</v>
      </c>
      <c r="R200" s="85">
        <f t="shared" si="599"/>
        <v>-3.5857423067858551E-2</v>
      </c>
      <c r="S200" s="85">
        <f t="shared" si="599"/>
        <v>-7.3525773480399681E-2</v>
      </c>
      <c r="T200" s="85">
        <f t="shared" si="599"/>
        <v>-2.1070781242408798E-2</v>
      </c>
      <c r="U200" s="85">
        <f t="shared" si="599"/>
        <v>6.0308004635538426E-2</v>
      </c>
      <c r="V200" s="85">
        <f t="shared" si="599"/>
        <v>-0.16687450971817164</v>
      </c>
      <c r="W200" s="111">
        <f t="shared" si="599"/>
        <v>-8.107436440547644E-2</v>
      </c>
      <c r="X200" s="111">
        <f t="shared" si="599"/>
        <v>2.3731149320233014E-2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00">+C203+1</f>
        <v>2018</v>
      </c>
      <c r="E203" s="82">
        <f t="shared" si="600"/>
        <v>2019</v>
      </c>
      <c r="F203" s="82">
        <f t="shared" si="600"/>
        <v>2020</v>
      </c>
      <c r="G203" s="82">
        <f t="shared" si="600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01">+P203+1</f>
        <v>2018</v>
      </c>
      <c r="R203" s="82">
        <f t="shared" ref="R203" si="602">+Q203+1</f>
        <v>2019</v>
      </c>
      <c r="S203" s="82">
        <f t="shared" ref="S203" si="603">+R203+1</f>
        <v>2020</v>
      </c>
      <c r="T203" s="82">
        <f t="shared" ref="T203" si="604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05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06">+SUM(D204)+SUM(C205:C215)</f>
        <v>100.062</v>
      </c>
      <c r="R204" s="6">
        <f t="shared" ref="R204:X204" si="607">+SUM(E204)+SUM(D205:D215)</f>
        <v>108.786</v>
      </c>
      <c r="S204" s="6">
        <f t="shared" si="607"/>
        <v>114.94299999999998</v>
      </c>
      <c r="T204" s="6">
        <f t="shared" si="607"/>
        <v>124.02399999999999</v>
      </c>
      <c r="U204" s="6">
        <f t="shared" si="607"/>
        <v>127.24099999999999</v>
      </c>
      <c r="V204" s="6">
        <f t="shared" si="607"/>
        <v>110.09</v>
      </c>
      <c r="W204" s="105">
        <f t="shared" si="607"/>
        <v>101.845</v>
      </c>
      <c r="X204" s="105">
        <f t="shared" si="607"/>
        <v>105.90099999999998</v>
      </c>
      <c r="Y204" s="117">
        <f t="shared" ref="Y204:Y209" si="608">+X204/W204-1</f>
        <v>3.9825224606018894E-2</v>
      </c>
      <c r="Z204" s="113">
        <f t="shared" ref="Z204:Z209" si="609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05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610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611">+SUM(J204:J205)+SUM(I206:I215)</f>
        <v>103.16199999999999</v>
      </c>
      <c r="X205" s="105">
        <f t="shared" ref="X205" si="612">+SUM(K204:K205)+SUM(J206:J215)</f>
        <v>105.24100000000001</v>
      </c>
      <c r="Y205" s="117">
        <f t="shared" si="608"/>
        <v>2.0152769430604511E-2</v>
      </c>
      <c r="Z205" s="113">
        <f t="shared" si="609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05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613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614">+SUM(I204:I206)+SUM(H207:H215)</f>
        <v>104.42100000000001</v>
      </c>
      <c r="W206" s="105">
        <f t="shared" ref="W206" si="615">+SUM(J204:J206)+SUM(I207:I215)</f>
        <v>102.31400000000001</v>
      </c>
      <c r="X206" s="105">
        <f t="shared" ref="X206" si="616">+SUM(K204:K206)+SUM(J207:J215)</f>
        <v>102.629</v>
      </c>
      <c r="Y206" s="117">
        <f t="shared" si="608"/>
        <v>3.0787575502864151E-3</v>
      </c>
      <c r="Z206" s="113">
        <f t="shared" si="609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05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617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618">+SUM(I204:I207)+SUM(H208:H215)</f>
        <v>105.18600000000001</v>
      </c>
      <c r="W207" s="67">
        <f t="shared" ref="W207" si="619">+SUM(J204:J207)+SUM(I208:I215)</f>
        <v>100.96000000000001</v>
      </c>
      <c r="X207" s="37">
        <f t="shared" ref="X207" si="620">+SUM(K204:K207)+SUM(J208:J215)</f>
        <v>102.753</v>
      </c>
      <c r="Y207" s="78">
        <f t="shared" si="608"/>
        <v>1.7759508716323147E-2</v>
      </c>
      <c r="Z207" s="7">
        <f t="shared" si="609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05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621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622">+SUM(I204:I208)+SUM(H209:H215)</f>
        <v>104.334</v>
      </c>
      <c r="W208" s="105">
        <f t="shared" ref="W208" si="623">+SUM(J204:J208)+SUM(I209:I215)</f>
        <v>99.967999999999989</v>
      </c>
      <c r="X208" s="105">
        <f t="shared" ref="X208" si="624">+SUM(K204:K208)+SUM(J209:J215)</f>
        <v>103.785</v>
      </c>
      <c r="Y208" s="117">
        <f t="shared" si="608"/>
        <v>3.8182218309859239E-2</v>
      </c>
      <c r="Z208" s="113">
        <f t="shared" si="609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05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625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626">+SUM(I204:I209)+SUM(H210:H215)</f>
        <v>101.873</v>
      </c>
      <c r="W209" s="105">
        <f t="shared" ref="W209" si="627">+SUM(J204:J209)+SUM(I210:I215)</f>
        <v>96.594999999999999</v>
      </c>
      <c r="X209" s="105">
        <f t="shared" ref="X209" si="628">+SUM(K204:K209)+SUM(J210:J215)</f>
        <v>106.146</v>
      </c>
      <c r="Y209" s="117">
        <f t="shared" si="608"/>
        <v>9.8876753455147792E-2</v>
      </c>
      <c r="Z209" s="113">
        <f t="shared" si="609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/>
      <c r="L210" s="91"/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629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630">+SUM(I204:I210)+SUM(H211:H215)</f>
        <v>101.723</v>
      </c>
      <c r="W210" s="105">
        <f t="shared" ref="W210" si="631">+SUM(J204:J210)+SUM(I211:I215)</f>
        <v>101.089</v>
      </c>
      <c r="X210" s="105"/>
      <c r="Y210" s="117"/>
      <c r="Z210" s="113"/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/>
      <c r="L211" s="91"/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632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633">+SUM(I204:I211)+SUM(H212:H215)</f>
        <v>99.727000000000004</v>
      </c>
      <c r="W211" s="105">
        <f t="shared" ref="W211" si="634">+SUM(J204:J211)+SUM(I212:I215)</f>
        <v>105.27500000000001</v>
      </c>
      <c r="X211" s="105"/>
      <c r="Y211" s="117"/>
      <c r="Z211" s="113"/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/>
      <c r="L212" s="91"/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635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636">+SUM(I204:I212)+SUM(H213:H215)</f>
        <v>98.382000000000005</v>
      </c>
      <c r="W212" s="105">
        <f t="shared" ref="W212" si="637">+SUM(J204:J212)+SUM(I213:I215)</f>
        <v>105.58799999999999</v>
      </c>
      <c r="X212" s="105"/>
      <c r="Y212" s="117"/>
      <c r="Z212" s="113"/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/>
      <c r="L213" s="91"/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638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639">+SUM(I204:I213)+SUM(H214:H215)</f>
        <v>101.529</v>
      </c>
      <c r="W213" s="105">
        <f t="shared" ref="W213" si="640">+SUM(J204:J213)+SUM(I214:I215)</f>
        <v>104.97199999999999</v>
      </c>
      <c r="X213" s="105"/>
      <c r="Y213" s="117"/>
      <c r="Z213" s="113"/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6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642">+SUM(I204:I214)+SUM(H215)</f>
        <v>102.504</v>
      </c>
      <c r="W214" s="105">
        <f t="shared" ref="W214" si="6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6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645">+SUM(I204:I215)</f>
        <v>103.27500000000001</v>
      </c>
      <c r="W215" s="105">
        <f t="shared" ref="W215" si="6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647">SUM(B204:B215)</f>
        <v>89.567000000000007</v>
      </c>
      <c r="C216" s="83">
        <f t="shared" si="647"/>
        <v>100.23599999999999</v>
      </c>
      <c r="D216" s="83">
        <f t="shared" si="647"/>
        <v>106.82600000000001</v>
      </c>
      <c r="E216" s="83">
        <f t="shared" si="647"/>
        <v>114.30200000000001</v>
      </c>
      <c r="F216" s="83">
        <f t="shared" si="647"/>
        <v>125.268</v>
      </c>
      <c r="G216" s="83">
        <f t="shared" si="647"/>
        <v>128.97900000000001</v>
      </c>
      <c r="H216" s="83">
        <f t="shared" ref="H216:I216" si="648">SUM(H204:H215)</f>
        <v>109.47100000000002</v>
      </c>
      <c r="I216" s="83">
        <f t="shared" si="648"/>
        <v>103.27500000000001</v>
      </c>
      <c r="J216" s="107">
        <f t="shared" ref="J216" si="649">SUM(J204:J215)</f>
        <v>106.62599999999999</v>
      </c>
      <c r="K216" s="83"/>
      <c r="L216" s="94"/>
      <c r="M216" s="3"/>
      <c r="N216" s="92" t="s">
        <v>14</v>
      </c>
      <c r="O216" s="106">
        <f t="shared" ref="O216" si="650">+AVERAGE(O204:O215)</f>
        <v>88.095500000000001</v>
      </c>
      <c r="P216" s="83">
        <f>+AVERAGE(P204:P215)</f>
        <v>95.380166666666653</v>
      </c>
      <c r="Q216" s="83">
        <f t="shared" ref="Q216:W216" si="651">+AVERAGE(Q204:Q215)</f>
        <v>101.55008333333335</v>
      </c>
      <c r="R216" s="83">
        <f t="shared" si="651"/>
        <v>113.61624999999998</v>
      </c>
      <c r="S216" s="83">
        <f t="shared" si="651"/>
        <v>118.78275000000001</v>
      </c>
      <c r="T216" s="83">
        <f t="shared" si="651"/>
        <v>125.92983333333332</v>
      </c>
      <c r="U216" s="83">
        <f t="shared" si="651"/>
        <v>123.31325</v>
      </c>
      <c r="V216" s="83">
        <f t="shared" si="651"/>
        <v>103.25583333333333</v>
      </c>
      <c r="W216" s="107">
        <f t="shared" si="651"/>
        <v>102.97308333333332</v>
      </c>
      <c r="X216" s="107">
        <f t="shared" ref="X216" si="652">+AVERAGE(X204:X215)</f>
        <v>104.40916666666665</v>
      </c>
      <c r="Y216" s="119">
        <f>+X216/W216-1</f>
        <v>1.3946201151271653E-2</v>
      </c>
      <c r="Z216" s="173">
        <f>+POWER(X216/S216,0.2)-1</f>
        <v>-2.5465876169899038E-2</v>
      </c>
    </row>
    <row r="217" spans="1:26" ht="25.5" x14ac:dyDescent="0.25">
      <c r="A217" s="95" t="s">
        <v>15</v>
      </c>
      <c r="B217" s="108">
        <f t="shared" ref="B217:G217" si="653">+B216/B$360</f>
        <v>0.10965248412758655</v>
      </c>
      <c r="C217" s="84">
        <f t="shared" si="653"/>
        <v>0.12437370180388768</v>
      </c>
      <c r="D217" s="84">
        <f t="shared" si="653"/>
        <v>0.1296023099507437</v>
      </c>
      <c r="E217" s="84">
        <f t="shared" si="653"/>
        <v>0.14357852213432082</v>
      </c>
      <c r="F217" s="84">
        <f t="shared" si="653"/>
        <v>0.16056212380669177</v>
      </c>
      <c r="G217" s="84">
        <f t="shared" si="653"/>
        <v>0.15607106382772759</v>
      </c>
      <c r="H217" s="84">
        <f t="shared" ref="H217:I217" si="654">+H216/H$360</f>
        <v>0.13900373314371336</v>
      </c>
      <c r="I217" s="84">
        <f t="shared" si="654"/>
        <v>0.15834939443143714</v>
      </c>
      <c r="J217" s="109">
        <f t="shared" ref="J217" si="655">+J216/J$360</f>
        <v>0.15652327092034088</v>
      </c>
      <c r="K217" s="84"/>
      <c r="L217" s="97"/>
      <c r="M217" s="3"/>
      <c r="N217" s="95" t="s">
        <v>15</v>
      </c>
      <c r="O217" s="108">
        <f t="shared" ref="O217:W217" si="656">+O216/O$360</f>
        <v>0.10945205947488905</v>
      </c>
      <c r="P217" s="84">
        <f t="shared" si="656"/>
        <v>0.1176720718179191</v>
      </c>
      <c r="Q217" s="84">
        <f t="shared" si="656"/>
        <v>0.12535650606007581</v>
      </c>
      <c r="R217" s="84">
        <f t="shared" si="656"/>
        <v>0.13906316330383625</v>
      </c>
      <c r="S217" s="84">
        <f t="shared" si="656"/>
        <v>0.1510946091799065</v>
      </c>
      <c r="T217" s="84">
        <f t="shared" si="656"/>
        <v>0.15704679796249188</v>
      </c>
      <c r="U217" s="84">
        <f t="shared" si="656"/>
        <v>0.15066466155002167</v>
      </c>
      <c r="V217" s="84">
        <f t="shared" si="656"/>
        <v>0.14494837251709508</v>
      </c>
      <c r="W217" s="109">
        <f t="shared" si="656"/>
        <v>0.15744128746228259</v>
      </c>
      <c r="X217" s="109">
        <f t="shared" ref="X217" si="657">+X216/X$360</f>
        <v>0.15334962652461037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658">+D216/C216-1</f>
        <v>6.5744842172473117E-2</v>
      </c>
      <c r="E218" s="85">
        <f t="shared" si="658"/>
        <v>6.9982962949094674E-2</v>
      </c>
      <c r="F218" s="85">
        <f t="shared" si="658"/>
        <v>9.5938828716907842E-2</v>
      </c>
      <c r="G218" s="85">
        <f t="shared" si="658"/>
        <v>2.9624485103937337E-2</v>
      </c>
      <c r="H218" s="85">
        <f t="shared" si="658"/>
        <v>-0.15124942820149012</v>
      </c>
      <c r="I218" s="85">
        <f t="shared" si="658"/>
        <v>-5.6599464698413371E-2</v>
      </c>
      <c r="J218" s="111">
        <f t="shared" si="6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659">+Q216/P216-1</f>
        <v>6.4687627232076883E-2</v>
      </c>
      <c r="R218" s="85">
        <f t="shared" ref="R218" si="660">+R216/Q216-1</f>
        <v>0.11881985982286203</v>
      </c>
      <c r="S218" s="85">
        <f t="shared" ref="S218" si="661">+S216/R216-1</f>
        <v>4.547324876503156E-2</v>
      </c>
      <c r="T218" s="85">
        <f t="shared" ref="T218" si="662">+T216/S216-1</f>
        <v>6.0169370833166536E-2</v>
      </c>
      <c r="U218" s="85">
        <f t="shared" ref="U218" si="663">+U216/T216-1</f>
        <v>-2.0778105267615921E-2</v>
      </c>
      <c r="V218" s="85">
        <f t="shared" ref="V218" si="664">+V216/U216-1</f>
        <v>-0.16265418895914807</v>
      </c>
      <c r="W218" s="111">
        <f t="shared" ref="W218:X218" si="665">+W216/V216-1</f>
        <v>-2.7383440806412196E-3</v>
      </c>
      <c r="X218" s="111">
        <f t="shared" si="665"/>
        <v>1.3946201151271653E-2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666">+C221+1</f>
        <v>2018</v>
      </c>
      <c r="E221" s="82">
        <f t="shared" si="666"/>
        <v>2019</v>
      </c>
      <c r="F221" s="82">
        <f t="shared" si="666"/>
        <v>2020</v>
      </c>
      <c r="G221" s="82">
        <f t="shared" si="6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67">+P221+1</f>
        <v>2018</v>
      </c>
      <c r="R221" s="82">
        <f t="shared" ref="R221" si="668">+Q221+1</f>
        <v>2019</v>
      </c>
      <c r="S221" s="82">
        <f t="shared" ref="S221" si="669">+R221+1</f>
        <v>2020</v>
      </c>
      <c r="T221" s="82">
        <f t="shared" ref="T221" si="6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6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672">+SUM(D222)+SUM(C223:C233)</f>
        <v>67.374000000000009</v>
      </c>
      <c r="R222" s="6">
        <f t="shared" ref="R222:X222" si="673">+SUM(E222)+SUM(D223:D233)</f>
        <v>67.957999999999998</v>
      </c>
      <c r="S222" s="6">
        <f t="shared" si="673"/>
        <v>67.415000000000006</v>
      </c>
      <c r="T222" s="6">
        <f t="shared" si="673"/>
        <v>68.432000000000002</v>
      </c>
      <c r="U222" s="6">
        <f t="shared" si="673"/>
        <v>67.143999999999991</v>
      </c>
      <c r="V222" s="6">
        <f t="shared" si="673"/>
        <v>49.774999999999999</v>
      </c>
      <c r="W222" s="105">
        <f t="shared" si="673"/>
        <v>43.546000000000006</v>
      </c>
      <c r="X222" s="105">
        <f t="shared" si="673"/>
        <v>49.586000000000006</v>
      </c>
      <c r="Y222" s="117">
        <f t="shared" ref="Y222:Y227" si="674">+X222/W222-1</f>
        <v>0.13870389932485194</v>
      </c>
      <c r="Z222" s="113">
        <f t="shared" ref="Z222:Z227" si="6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6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6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677">+SUM(J222:J223)+SUM(I224:I233)</f>
        <v>44.047999999999995</v>
      </c>
      <c r="X223" s="105">
        <f t="shared" ref="X223" si="678">+SUM(K222:K223)+SUM(J224:J233)</f>
        <v>49.398000000000003</v>
      </c>
      <c r="Y223" s="117">
        <f t="shared" si="674"/>
        <v>0.12145840900835481</v>
      </c>
      <c r="Z223" s="113">
        <f t="shared" si="6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6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6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680">+SUM(I222:I224)+SUM(H225:H233)</f>
        <v>47.177999999999997</v>
      </c>
      <c r="W224" s="105">
        <f t="shared" ref="W224:X224" si="681">+SUM(J222:J224)+SUM(I225:I233)</f>
        <v>44.658000000000001</v>
      </c>
      <c r="X224" s="105">
        <f t="shared" si="681"/>
        <v>50.146999999999998</v>
      </c>
      <c r="Y224" s="117">
        <f t="shared" si="674"/>
        <v>0.12291190828071108</v>
      </c>
      <c r="Z224" s="113">
        <f t="shared" si="6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6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6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683">+SUM(I222:I225)+SUM(H226:H233)</f>
        <v>48.510999999999996</v>
      </c>
      <c r="W225" s="67">
        <f t="shared" ref="W225" si="684">+SUM(J222:J225)+SUM(I226:I233)</f>
        <v>43.695999999999998</v>
      </c>
      <c r="X225" s="37">
        <f t="shared" ref="X225" si="685">+SUM(K222:K225)+SUM(J226:J233)</f>
        <v>49.765000000000001</v>
      </c>
      <c r="Y225" s="78">
        <f t="shared" si="674"/>
        <v>0.13889143170999629</v>
      </c>
      <c r="Z225" s="7">
        <f t="shared" si="6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6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6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687">+SUM(I222:I226)+SUM(H227:H233)</f>
        <v>45.789000000000001</v>
      </c>
      <c r="W226" s="105">
        <f t="shared" ref="W226" si="688">+SUM(J222:J226)+SUM(I227:I233)</f>
        <v>44.709000000000003</v>
      </c>
      <c r="X226" s="105">
        <f t="shared" ref="X226" si="689">+SUM(K222:K226)+SUM(J227:J233)</f>
        <v>49.854999999999997</v>
      </c>
      <c r="Y226" s="117">
        <f t="shared" si="674"/>
        <v>0.11509986803551842</v>
      </c>
      <c r="Z226" s="113">
        <f t="shared" si="6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6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6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691">+SUM(I222:I227)+SUM(H228:H233)</f>
        <v>43.891000000000005</v>
      </c>
      <c r="W227" s="105">
        <f t="shared" ref="W227" si="692">+SUM(J222:J227)+SUM(I228:I233)</f>
        <v>42.947000000000003</v>
      </c>
      <c r="X227" s="105">
        <f t="shared" ref="X227" si="693">+SUM(K222:K227)+SUM(J228:J233)</f>
        <v>52.555999999999997</v>
      </c>
      <c r="Y227" s="117">
        <f t="shared" si="674"/>
        <v>0.22374088993410468</v>
      </c>
      <c r="Z227" s="113">
        <f t="shared" si="6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/>
      <c r="L228" s="91"/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694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695">+SUM(I222:I228)+SUM(H229:H233)</f>
        <v>46.13900000000001</v>
      </c>
      <c r="W228" s="105">
        <f t="shared" ref="W228" si="696">+SUM(J222:J228)+SUM(I229:I233)</f>
        <v>43.42</v>
      </c>
      <c r="X228" s="105"/>
      <c r="Y228" s="117"/>
      <c r="Z228" s="113"/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/>
      <c r="L229" s="91"/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697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698">+SUM(I222:I229)+SUM(H230:H233)</f>
        <v>42.502000000000002</v>
      </c>
      <c r="W229" s="105">
        <f t="shared" ref="W229" si="699">+SUM(J222:J229)+SUM(I230:I233)</f>
        <v>45.619</v>
      </c>
      <c r="X229" s="105"/>
      <c r="Y229" s="117"/>
      <c r="Z229" s="113"/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/>
      <c r="L230" s="91"/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700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701">+SUM(I222:I230)+SUM(H231:H233)</f>
        <v>42.466999999999999</v>
      </c>
      <c r="W230" s="105">
        <f t="shared" ref="W230" si="702">+SUM(J222:J230)+SUM(I231:I233)</f>
        <v>45.212000000000003</v>
      </c>
      <c r="X230" s="105"/>
      <c r="Y230" s="117"/>
      <c r="Z230" s="113"/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/>
      <c r="L231" s="91"/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703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704">+SUM(I222:I231)+SUM(H232:H233)</f>
        <v>42.697000000000003</v>
      </c>
      <c r="W231" s="105">
        <f t="shared" ref="W231" si="705">+SUM(J222:J231)+SUM(I232:I233)</f>
        <v>48.072000000000003</v>
      </c>
      <c r="X231" s="105"/>
      <c r="Y231" s="117"/>
      <c r="Z231" s="113"/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706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707">+SUM(I222:I232)+SUM(H233)</f>
        <v>43.330000000000005</v>
      </c>
      <c r="W232" s="105">
        <f t="shared" ref="W232" si="708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709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710">+SUM(I222:I233)</f>
        <v>43.182000000000002</v>
      </c>
      <c r="W233" s="105">
        <f t="shared" ref="W233" si="711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712">SUM(C222:C233)</f>
        <v>68.391000000000005</v>
      </c>
      <c r="D234" s="83">
        <f t="shared" si="712"/>
        <v>67.007000000000005</v>
      </c>
      <c r="E234" s="83">
        <f t="shared" si="712"/>
        <v>68.272999999999996</v>
      </c>
      <c r="F234" s="83">
        <f t="shared" si="712"/>
        <v>65.47</v>
      </c>
      <c r="G234" s="83">
        <f t="shared" ref="G234:I234" si="713">SUM(G222:G233)</f>
        <v>71.659000000000006</v>
      </c>
      <c r="H234" s="83">
        <f t="shared" si="713"/>
        <v>49.356999999999999</v>
      </c>
      <c r="I234" s="83">
        <f t="shared" si="713"/>
        <v>43.182000000000002</v>
      </c>
      <c r="J234" s="107">
        <f t="shared" ref="J234" si="714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715">+AVERAGE(Q222:Q233)</f>
        <v>66.48933333333332</v>
      </c>
      <c r="R234" s="83">
        <f t="shared" si="715"/>
        <v>69.780999999999992</v>
      </c>
      <c r="S234" s="83">
        <f t="shared" si="715"/>
        <v>67.953500000000005</v>
      </c>
      <c r="T234" s="83">
        <f t="shared" si="715"/>
        <v>67.238166666666672</v>
      </c>
      <c r="U234" s="83">
        <f t="shared" si="715"/>
        <v>60.131999999999998</v>
      </c>
      <c r="V234" s="83">
        <f t="shared" si="715"/>
        <v>45.255749999999999</v>
      </c>
      <c r="W234" s="107">
        <f t="shared" si="715"/>
        <v>45.434416666666671</v>
      </c>
      <c r="X234" s="107">
        <f t="shared" ref="X234" si="716">+AVERAGE(X222:X233)</f>
        <v>50.217833333333338</v>
      </c>
      <c r="Y234" s="119">
        <f>+X234/W234-1</f>
        <v>0.10528178895220774</v>
      </c>
      <c r="Z234" s="173">
        <f>+POWER(X234/S234,0.2)-1</f>
        <v>-5.8697465318754194E-2</v>
      </c>
    </row>
    <row r="235" spans="1:26" ht="25.5" x14ac:dyDescent="0.25">
      <c r="A235" s="95" t="s">
        <v>15</v>
      </c>
      <c r="B235" s="108">
        <f t="shared" ref="B235:G235" si="717">+B234/B$360</f>
        <v>8.2000328099252492E-2</v>
      </c>
      <c r="C235" s="84">
        <f t="shared" si="717"/>
        <v>8.4860148450354E-2</v>
      </c>
      <c r="D235" s="84">
        <f t="shared" si="717"/>
        <v>8.1293523888093563E-2</v>
      </c>
      <c r="E235" s="84">
        <f t="shared" si="717"/>
        <v>8.5759973068506981E-2</v>
      </c>
      <c r="F235" s="84">
        <f t="shared" si="717"/>
        <v>8.3916101842642254E-2</v>
      </c>
      <c r="G235" s="84">
        <f t="shared" si="717"/>
        <v>8.6710986771731294E-2</v>
      </c>
      <c r="H235" s="84">
        <f t="shared" ref="H235:I235" si="718">+H234/H$360</f>
        <v>6.2672372196967779E-2</v>
      </c>
      <c r="I235" s="84">
        <f t="shared" si="718"/>
        <v>6.6210056164011794E-2</v>
      </c>
      <c r="J235" s="109">
        <f t="shared" ref="J235" si="719">+J234/J$360</f>
        <v>7.4528599634476653E-2</v>
      </c>
      <c r="K235" s="84"/>
      <c r="L235" s="97"/>
      <c r="M235" s="3"/>
      <c r="N235" s="95" t="s">
        <v>15</v>
      </c>
      <c r="O235" s="108">
        <f t="shared" ref="O235:W235" si="720">+O234/O$360</f>
        <v>8.6824081925510416E-2</v>
      </c>
      <c r="P235" s="84">
        <f t="shared" si="720"/>
        <v>8.18938862054987E-2</v>
      </c>
      <c r="Q235" s="84">
        <f t="shared" si="720"/>
        <v>8.2076451769828501E-2</v>
      </c>
      <c r="R235" s="84">
        <f t="shared" si="720"/>
        <v>8.541002364102844E-2</v>
      </c>
      <c r="S235" s="84">
        <f t="shared" si="720"/>
        <v>8.6438540317569479E-2</v>
      </c>
      <c r="T235" s="84">
        <f t="shared" si="720"/>
        <v>8.385255897161005E-2</v>
      </c>
      <c r="U235" s="84">
        <f t="shared" si="720"/>
        <v>7.346953736379426E-2</v>
      </c>
      <c r="V235" s="84">
        <f t="shared" si="720"/>
        <v>6.3529072380483997E-2</v>
      </c>
      <c r="W235" s="109">
        <f t="shared" si="720"/>
        <v>6.9467212435914472E-2</v>
      </c>
      <c r="X235" s="109">
        <f t="shared" ref="X235" si="721">+X234/X$360</f>
        <v>7.3756799641236465E-2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722">+D234/C234-1</f>
        <v>-2.0236580836659801E-2</v>
      </c>
      <c r="E236" s="85">
        <f t="shared" si="722"/>
        <v>1.8893548435237939E-2</v>
      </c>
      <c r="F236" s="85">
        <f t="shared" si="722"/>
        <v>-4.1055761428383075E-2</v>
      </c>
      <c r="G236" s="85">
        <f t="shared" si="722"/>
        <v>9.4531846647319506E-2</v>
      </c>
      <c r="H236" s="85">
        <f t="shared" si="722"/>
        <v>-0.31122399140373158</v>
      </c>
      <c r="I236" s="85">
        <f t="shared" si="722"/>
        <v>-0.12510890045991441</v>
      </c>
      <c r="J236" s="111">
        <f t="shared" si="722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723">+Q234/P234-1</f>
        <v>1.6495973927823648E-3</v>
      </c>
      <c r="R236" s="85">
        <f t="shared" ref="R236" si="724">+R234/Q234-1</f>
        <v>4.9506687789520276E-2</v>
      </c>
      <c r="S236" s="85">
        <f t="shared" ref="S236" si="725">+S234/R234-1</f>
        <v>-2.6189077255986404E-2</v>
      </c>
      <c r="T236" s="85">
        <f t="shared" ref="T236" si="726">+T234/S234-1</f>
        <v>-1.0526806320989124E-2</v>
      </c>
      <c r="U236" s="85">
        <f t="shared" ref="U236" si="727">+U234/T234-1</f>
        <v>-0.10568650245768163</v>
      </c>
      <c r="V236" s="85">
        <f t="shared" ref="V236" si="728">+V234/U234-1</f>
        <v>-0.24739323488325682</v>
      </c>
      <c r="W236" s="111">
        <f t="shared" ref="W236:X236" si="729">+W234/V234-1</f>
        <v>3.9479329514298112E-3</v>
      </c>
      <c r="X236" s="111">
        <f t="shared" si="729"/>
        <v>0.10528178895220774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730">+C239+1</f>
        <v>2018</v>
      </c>
      <c r="E239" s="82">
        <f t="shared" si="730"/>
        <v>2019</v>
      </c>
      <c r="F239" s="82">
        <f t="shared" si="730"/>
        <v>2020</v>
      </c>
      <c r="G239" s="82">
        <f t="shared" si="730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31">+P239+1</f>
        <v>2018</v>
      </c>
      <c r="R239" s="82">
        <f t="shared" ref="R239" si="732">+Q239+1</f>
        <v>2019</v>
      </c>
      <c r="S239" s="82">
        <f t="shared" ref="S239" si="733">+R239+1</f>
        <v>2020</v>
      </c>
      <c r="T239" s="82">
        <f t="shared" ref="T239" si="734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735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736">+SUM(D240)+SUM(C241:C251)</f>
        <v>56.518000000000001</v>
      </c>
      <c r="R240" s="6">
        <f t="shared" ref="R240:X240" si="737">+SUM(E240)+SUM(D241:D251)</f>
        <v>55.251999999999995</v>
      </c>
      <c r="S240" s="6">
        <f t="shared" si="737"/>
        <v>57.580000000000005</v>
      </c>
      <c r="T240" s="6">
        <f t="shared" si="737"/>
        <v>69.527999999999992</v>
      </c>
      <c r="U240" s="6">
        <f t="shared" si="737"/>
        <v>82.146000000000001</v>
      </c>
      <c r="V240" s="6">
        <f t="shared" si="737"/>
        <v>91.391000000000005</v>
      </c>
      <c r="W240" s="105">
        <f t="shared" si="737"/>
        <v>85.929999999999993</v>
      </c>
      <c r="X240" s="105">
        <f t="shared" si="737"/>
        <v>100.69499999999999</v>
      </c>
      <c r="Y240" s="117">
        <f t="shared" ref="Y240:Y245" si="738">+X240/W240-1</f>
        <v>0.17182590480623761</v>
      </c>
      <c r="Z240" s="113">
        <f t="shared" ref="Z240:Z245" si="739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735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740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741">+SUM(J240:J241)+SUM(I242:I251)</f>
        <v>84.557000000000002</v>
      </c>
      <c r="X241" s="105">
        <f t="shared" ref="X241" si="742">+SUM(K240:K241)+SUM(J242:J251)</f>
        <v>99.736999999999995</v>
      </c>
      <c r="Y241" s="117">
        <f t="shared" si="738"/>
        <v>0.17952387147131521</v>
      </c>
      <c r="Z241" s="113">
        <f t="shared" si="739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735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743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744">+SUM(I240:I242)+SUM(H243:H251)</f>
        <v>92.844000000000008</v>
      </c>
      <c r="W242" s="105">
        <f t="shared" ref="W242" si="745">+SUM(J240:J242)+SUM(I243:I251)</f>
        <v>84.156000000000006</v>
      </c>
      <c r="X242" s="105">
        <f t="shared" ref="X242" si="746">+SUM(K240:K242)+SUM(J243:J251)</f>
        <v>99.762999999999991</v>
      </c>
      <c r="Y242" s="117">
        <f t="shared" si="738"/>
        <v>0.18545320595085291</v>
      </c>
      <c r="Z242" s="113">
        <f t="shared" si="739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735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747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748">+SUM(I240:I243)+SUM(H244:H251)</f>
        <v>92.235000000000014</v>
      </c>
      <c r="W243" s="67">
        <f t="shared" ref="W243" si="749">+SUM(J240:J243)+SUM(I244:I251)</f>
        <v>84.747</v>
      </c>
      <c r="X243" s="37">
        <f t="shared" ref="X243" si="750">+SUM(K240:K243)+SUM(J244:J251)</f>
        <v>100.67399999999998</v>
      </c>
      <c r="Y243" s="78">
        <f t="shared" si="738"/>
        <v>0.1879358561365001</v>
      </c>
      <c r="Z243" s="7">
        <f t="shared" si="739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735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751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752">+SUM(I240:I244)+SUM(H245:H251)</f>
        <v>91.35</v>
      </c>
      <c r="W244" s="105">
        <f t="shared" ref="W244" si="753">+SUM(J240:J244)+SUM(I245:I251)</f>
        <v>87.736999999999995</v>
      </c>
      <c r="X244" s="105">
        <f t="shared" ref="X244" si="754">+SUM(K240:K244)+SUM(J245:J251)</f>
        <v>97.710000000000008</v>
      </c>
      <c r="Y244" s="117">
        <f t="shared" si="738"/>
        <v>0.11366926154302082</v>
      </c>
      <c r="Z244" s="113">
        <f t="shared" si="739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735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755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756">+SUM(I240:I245)+SUM(H246:H251)</f>
        <v>92.850999999999999</v>
      </c>
      <c r="W245" s="105">
        <f t="shared" ref="W245" si="757">+SUM(J240:J245)+SUM(I246:I251)</f>
        <v>89.111999999999995</v>
      </c>
      <c r="X245" s="105">
        <f t="shared" ref="X245" si="758">+SUM(K240:K245)+SUM(J246:J251)</f>
        <v>98.08</v>
      </c>
      <c r="Y245" s="117">
        <f t="shared" si="738"/>
        <v>0.10063740012568467</v>
      </c>
      <c r="Z245" s="113">
        <f t="shared" si="739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/>
      <c r="L246" s="91"/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759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760">+SUM(I240:I246)+SUM(H247:H251)</f>
        <v>92.537999999999997</v>
      </c>
      <c r="W246" s="105">
        <f t="shared" ref="W246" si="761">+SUM(J240:J246)+SUM(I247:I251)</f>
        <v>92.23599999999999</v>
      </c>
      <c r="X246" s="105"/>
      <c r="Y246" s="117"/>
      <c r="Z246" s="113"/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/>
      <c r="L247" s="91"/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762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763">+SUM(I240:I247)+SUM(H248:H251)</f>
        <v>89.933999999999997</v>
      </c>
      <c r="W247" s="105">
        <f t="shared" ref="W247" si="764">+SUM(J240:J247)+SUM(I248:I251)</f>
        <v>94.663999999999987</v>
      </c>
      <c r="X247" s="105"/>
      <c r="Y247" s="117"/>
      <c r="Z247" s="113"/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/>
      <c r="L248" s="91"/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765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766">+SUM(I240:I248)+SUM(H249:H251)</f>
        <v>89.020999999999987</v>
      </c>
      <c r="W248" s="105">
        <f t="shared" ref="W248" si="767">+SUM(J240:J248)+SUM(I249:I251)</f>
        <v>98.106999999999999</v>
      </c>
      <c r="X248" s="105"/>
      <c r="Y248" s="117"/>
      <c r="Z248" s="113"/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/>
      <c r="L249" s="91"/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768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769">+SUM(I240:I249)+SUM(H250:H251)</f>
        <v>87.77</v>
      </c>
      <c r="W249" s="105">
        <f t="shared" ref="W249" si="770">+SUM(J240:J249)+SUM(I250:I251)</f>
        <v>98.72999999999999</v>
      </c>
      <c r="X249" s="105"/>
      <c r="Y249" s="117"/>
      <c r="Z249" s="113"/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771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772">+SUM(I240:I250)+SUM(H251)</f>
        <v>86.344999999999999</v>
      </c>
      <c r="W250" s="105">
        <f t="shared" ref="W250" si="773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774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775">+SUM(I240:I251)</f>
        <v>88.766999999999996</v>
      </c>
      <c r="W251" s="105">
        <f t="shared" ref="W251" si="776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777">SUM(C240:C251)</f>
        <v>55.055</v>
      </c>
      <c r="D252" s="83">
        <f t="shared" si="777"/>
        <v>56.878999999999998</v>
      </c>
      <c r="E252" s="83">
        <f t="shared" si="777"/>
        <v>57.808999999999997</v>
      </c>
      <c r="F252" s="83">
        <f t="shared" si="777"/>
        <v>65.968000000000004</v>
      </c>
      <c r="G252" s="83">
        <f t="shared" ref="G252" si="778">SUM(G240:G251)</f>
        <v>83.677999999999997</v>
      </c>
      <c r="H252" s="83">
        <f t="shared" ref="H252:I252" si="779">SUM(H240:H251)</f>
        <v>88.523999999999987</v>
      </c>
      <c r="I252" s="83">
        <f t="shared" si="779"/>
        <v>88.766999999999996</v>
      </c>
      <c r="J252" s="107">
        <f t="shared" ref="J252" si="780">SUM(J240:J251)</f>
        <v>99.47499999999998</v>
      </c>
      <c r="K252" s="83"/>
      <c r="L252" s="94"/>
      <c r="M252" s="3"/>
      <c r="N252" s="92" t="s">
        <v>14</v>
      </c>
      <c r="O252" s="106">
        <f t="shared" ref="O252" si="781">+AVERAGE(O240:O251)</f>
        <v>46.134916666666669</v>
      </c>
      <c r="P252" s="83">
        <f>+AVERAGE(P240:P251)</f>
        <v>51.103833333333334</v>
      </c>
      <c r="Q252" s="83">
        <f t="shared" ref="Q252:W252" si="782">+AVERAGE(Q240:Q251)</f>
        <v>57.46674999999999</v>
      </c>
      <c r="R252" s="83">
        <f t="shared" si="782"/>
        <v>54.871666666666663</v>
      </c>
      <c r="S252" s="83">
        <f t="shared" si="782"/>
        <v>58.904499999999992</v>
      </c>
      <c r="T252" s="83">
        <f t="shared" si="782"/>
        <v>79.190999999999988</v>
      </c>
      <c r="U252" s="83">
        <f t="shared" si="782"/>
        <v>86.412916666666661</v>
      </c>
      <c r="V252" s="83">
        <f t="shared" si="782"/>
        <v>90.542416666666668</v>
      </c>
      <c r="W252" s="107">
        <f t="shared" si="782"/>
        <v>91.549499999999981</v>
      </c>
      <c r="X252" s="107">
        <f t="shared" ref="X252" si="783">+AVERAGE(X240:X251)</f>
        <v>99.44316666666667</v>
      </c>
      <c r="Y252" s="119">
        <f>+X252/W252-1</f>
        <v>8.6222935861656191E-2</v>
      </c>
      <c r="Z252" s="173">
        <f>+POWER(X252/S252,0.2)-1</f>
        <v>0.11041493485246967</v>
      </c>
    </row>
    <row r="253" spans="1:26" ht="25.5" x14ac:dyDescent="0.25">
      <c r="A253" s="95" t="s">
        <v>15</v>
      </c>
      <c r="B253" s="108">
        <f t="shared" ref="B253:G253" si="784">+B252/B$360</f>
        <v>5.7079475922656712E-2</v>
      </c>
      <c r="C253" s="84">
        <f t="shared" si="784"/>
        <v>6.831272350066879E-2</v>
      </c>
      <c r="D253" s="84">
        <f t="shared" si="784"/>
        <v>6.9006138839686509E-2</v>
      </c>
      <c r="E253" s="84">
        <f t="shared" si="784"/>
        <v>7.2615796627031479E-2</v>
      </c>
      <c r="F253" s="84">
        <f t="shared" si="784"/>
        <v>8.4554412805184428E-2</v>
      </c>
      <c r="G253" s="84">
        <f t="shared" si="784"/>
        <v>0.10125458003998006</v>
      </c>
      <c r="H253" s="84">
        <f t="shared" ref="H253:I253" si="785">+H252/H$360</f>
        <v>0.11240571907458667</v>
      </c>
      <c r="I253" s="84">
        <f t="shared" si="785"/>
        <v>0.13610458189780081</v>
      </c>
      <c r="J253" s="109">
        <f t="shared" ref="J253" si="786">+J252/J$360</f>
        <v>0.14602585086940245</v>
      </c>
      <c r="K253" s="84"/>
      <c r="L253" s="97"/>
      <c r="M253" s="3"/>
      <c r="N253" s="95" t="s">
        <v>15</v>
      </c>
      <c r="O253" s="108">
        <f t="shared" ref="O253:W253" si="787">+O252/O$360</f>
        <v>5.7319177970146601E-2</v>
      </c>
      <c r="P253" s="84">
        <f t="shared" si="787"/>
        <v>6.3047635125097312E-2</v>
      </c>
      <c r="Q253" s="84">
        <f t="shared" si="787"/>
        <v>7.0938700965725715E-2</v>
      </c>
      <c r="R253" s="84">
        <f t="shared" si="787"/>
        <v>6.7161409942858838E-2</v>
      </c>
      <c r="S253" s="84">
        <f t="shared" si="787"/>
        <v>7.4927987493451711E-2</v>
      </c>
      <c r="T253" s="84">
        <f t="shared" si="787"/>
        <v>9.8758909213578147E-2</v>
      </c>
      <c r="U253" s="84">
        <f t="shared" si="787"/>
        <v>0.10557967487787047</v>
      </c>
      <c r="V253" s="84">
        <f t="shared" si="787"/>
        <v>0.12710154492900033</v>
      </c>
      <c r="W253" s="109">
        <f t="shared" si="787"/>
        <v>0.13997513408304829</v>
      </c>
      <c r="X253" s="109">
        <f t="shared" ref="X253" si="788">+X252/X$360</f>
        <v>0.14605587761698369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789">+D252/C252-1</f>
        <v>3.3130505857778658E-2</v>
      </c>
      <c r="E254" s="85">
        <f t="shared" si="789"/>
        <v>1.6350498426484394E-2</v>
      </c>
      <c r="F254" s="85">
        <f t="shared" si="789"/>
        <v>0.14113719317061357</v>
      </c>
      <c r="G254" s="85">
        <f t="shared" si="789"/>
        <v>0.26846349745331066</v>
      </c>
      <c r="H254" s="85">
        <f t="shared" si="789"/>
        <v>5.7912474007504766E-2</v>
      </c>
      <c r="I254" s="85">
        <f t="shared" si="789"/>
        <v>2.7450183001220818E-3</v>
      </c>
      <c r="J254" s="111">
        <f t="shared" si="789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790">+Q252/P252-1</f>
        <v>0.12450957690714626</v>
      </c>
      <c r="R254" s="85">
        <f t="shared" ref="R254" si="791">+R252/Q252-1</f>
        <v>-4.5157997160676921E-2</v>
      </c>
      <c r="S254" s="85">
        <f t="shared" ref="S254" si="792">+S252/R252-1</f>
        <v>7.3495732466664521E-2</v>
      </c>
      <c r="T254" s="85">
        <f t="shared" ref="T254" si="793">+T252/S252-1</f>
        <v>0.3443964383026763</v>
      </c>
      <c r="U254" s="85">
        <f t="shared" ref="U254" si="794">+U252/T252-1</f>
        <v>9.119617970055538E-2</v>
      </c>
      <c r="V254" s="85">
        <f t="shared" ref="V254" si="795">+V252/U252-1</f>
        <v>4.7787994657434663E-2</v>
      </c>
      <c r="W254" s="111">
        <f t="shared" ref="W254:X254" si="796">+W252/V252-1</f>
        <v>1.1122779470763566E-2</v>
      </c>
      <c r="X254" s="111">
        <f t="shared" si="796"/>
        <v>8.6222935861656191E-2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797">+C257+1</f>
        <v>2018</v>
      </c>
      <c r="E257" s="82">
        <f t="shared" si="797"/>
        <v>2019</v>
      </c>
      <c r="F257" s="82">
        <f t="shared" si="797"/>
        <v>2020</v>
      </c>
      <c r="G257" s="82">
        <f t="shared" si="797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98">+P257+1</f>
        <v>2018</v>
      </c>
      <c r="R257" s="82">
        <f t="shared" ref="R257" si="799">+Q257+1</f>
        <v>2019</v>
      </c>
      <c r="S257" s="82">
        <f t="shared" ref="S257" si="800">+R257+1</f>
        <v>2020</v>
      </c>
      <c r="T257" s="82">
        <f t="shared" ref="T257" si="801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802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803">+SUM(D258)+SUM(C259:C269)</f>
        <v>29.805999999999997</v>
      </c>
      <c r="R258" s="6">
        <f t="shared" ref="R258:X258" si="804">+SUM(E258)+SUM(D259:D269)</f>
        <v>27.263999999999996</v>
      </c>
      <c r="S258" s="6">
        <f t="shared" si="804"/>
        <v>25.176000000000002</v>
      </c>
      <c r="T258" s="6">
        <f t="shared" si="804"/>
        <v>29.615999999999996</v>
      </c>
      <c r="U258" s="6">
        <f t="shared" si="804"/>
        <v>26.546000000000003</v>
      </c>
      <c r="V258" s="6">
        <f t="shared" si="804"/>
        <v>24.607000000000003</v>
      </c>
      <c r="W258" s="105">
        <f t="shared" si="804"/>
        <v>20.148</v>
      </c>
      <c r="X258" s="105">
        <f t="shared" si="804"/>
        <v>20.869</v>
      </c>
      <c r="Y258" s="117">
        <f t="shared" ref="Y258:Y263" si="805">+X258/W258-1</f>
        <v>3.5785189596982292E-2</v>
      </c>
      <c r="Z258" s="113">
        <f t="shared" ref="Z258:Z263" si="806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802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807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808">+SUM(J258:J259)+SUM(I260:I269)</f>
        <v>20.485999999999997</v>
      </c>
      <c r="X259" s="105">
        <f t="shared" ref="X259" si="809">+SUM(K258:K259)+SUM(J260:J269)</f>
        <v>20.633000000000003</v>
      </c>
      <c r="Y259" s="117">
        <f t="shared" si="805"/>
        <v>7.175632139021948E-3</v>
      </c>
      <c r="Z259" s="113">
        <f t="shared" si="806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802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810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811">+SUM(I258:I260)+SUM(H261:H269)</f>
        <v>24.242000000000001</v>
      </c>
      <c r="W260" s="105">
        <f t="shared" ref="W260" si="812">+SUM(J258:J260)+SUM(I261:I269)</f>
        <v>21.129000000000001</v>
      </c>
      <c r="X260" s="105">
        <f t="shared" ref="X260" si="813">+SUM(K258:K260)+SUM(J261:J269)</f>
        <v>19.532</v>
      </c>
      <c r="Y260" s="117">
        <f t="shared" si="805"/>
        <v>-7.5583321501254241E-2</v>
      </c>
      <c r="Z260" s="113">
        <f t="shared" si="806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802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814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815">+SUM(I258:I261)+SUM(H262:H269)</f>
        <v>22.829000000000001</v>
      </c>
      <c r="W261" s="67">
        <f t="shared" ref="W261" si="816">+SUM(J258:J261)+SUM(I262:I269)</f>
        <v>21.118000000000002</v>
      </c>
      <c r="X261" s="37">
        <f t="shared" ref="X261" si="817">+SUM(K258:K261)+SUM(J262:J269)</f>
        <v>19.805999999999997</v>
      </c>
      <c r="Y261" s="78">
        <f t="shared" si="805"/>
        <v>-6.2127095368879837E-2</v>
      </c>
      <c r="Z261" s="7">
        <f t="shared" si="806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802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818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819">+SUM(I258:I262)+SUM(H263:H269)</f>
        <v>22.523999999999997</v>
      </c>
      <c r="W262" s="105">
        <f t="shared" ref="W262" si="820">+SUM(J258:J262)+SUM(I263:I269)</f>
        <v>21.677999999999997</v>
      </c>
      <c r="X262" s="105">
        <f t="shared" ref="X262" si="821">+SUM(K258:K262)+SUM(J263:J269)</f>
        <v>19.746000000000002</v>
      </c>
      <c r="Y262" s="117">
        <f t="shared" si="805"/>
        <v>-8.9122612787157274E-2</v>
      </c>
      <c r="Z262" s="113">
        <f t="shared" si="806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802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822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823">+SUM(I258:I263)+SUM(H264:H269)</f>
        <v>21.408000000000001</v>
      </c>
      <c r="W263" s="105">
        <f t="shared" ref="W263" si="824">+SUM(J258:J263)+SUM(I264:I269)</f>
        <v>21.308999999999997</v>
      </c>
      <c r="X263" s="105">
        <f t="shared" ref="X263" si="825">+SUM(K258:K263)+SUM(J264:J269)</f>
        <v>19.931000000000004</v>
      </c>
      <c r="Y263" s="117">
        <f t="shared" si="805"/>
        <v>-6.4667511380167686E-2</v>
      </c>
      <c r="Z263" s="113">
        <f t="shared" si="806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/>
      <c r="L264" s="91"/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826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827">+SUM(I258:I264)+SUM(H265:H269)</f>
        <v>21.646999999999998</v>
      </c>
      <c r="W264" s="105">
        <f t="shared" ref="W264" si="828">+SUM(J258:J264)+SUM(I265:I269)</f>
        <v>22.57</v>
      </c>
      <c r="X264" s="105"/>
      <c r="Y264" s="117"/>
      <c r="Z264" s="113"/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/>
      <c r="L265" s="91"/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829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830">+SUM(I258:I265)+SUM(H266:H269)</f>
        <v>21.269000000000002</v>
      </c>
      <c r="W265" s="105">
        <f t="shared" ref="W265" si="831">+SUM(J258:J265)+SUM(I266:I269)</f>
        <v>22.22</v>
      </c>
      <c r="X265" s="105"/>
      <c r="Y265" s="117"/>
      <c r="Z265" s="113"/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/>
      <c r="L266" s="91"/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832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833">+SUM(I258:I266)+SUM(H267:H269)</f>
        <v>21.297000000000001</v>
      </c>
      <c r="W266" s="105">
        <f t="shared" ref="W266" si="834">+SUM(J258:J266)+SUM(I267:I269)</f>
        <v>20.451000000000001</v>
      </c>
      <c r="X266" s="105"/>
      <c r="Y266" s="117"/>
      <c r="Z266" s="113"/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/>
      <c r="L267" s="91"/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835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836">+SUM(I258:I267)+SUM(H268:H269)</f>
        <v>20.215</v>
      </c>
      <c r="W267" s="105">
        <f t="shared" ref="W267" si="837">+SUM(J258:J267)+SUM(I268:I269)</f>
        <v>21.314</v>
      </c>
      <c r="X267" s="105"/>
      <c r="Y267" s="117"/>
      <c r="Z267" s="113"/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838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839">+SUM(I258:I268)+SUM(H269)</f>
        <v>20.791</v>
      </c>
      <c r="W268" s="105">
        <f t="shared" ref="W268" si="840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841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842">+SUM(I258:I269)</f>
        <v>20.724999999999998</v>
      </c>
      <c r="W269" s="105">
        <f t="shared" ref="W269" si="843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844">SUM(B258:B269)</f>
        <v>33.632000000000005</v>
      </c>
      <c r="C270" s="219">
        <f t="shared" si="844"/>
        <v>28.826000000000001</v>
      </c>
      <c r="D270" s="219">
        <f t="shared" si="844"/>
        <v>28.803000000000001</v>
      </c>
      <c r="E270" s="219">
        <f t="shared" si="844"/>
        <v>24.947000000000003</v>
      </c>
      <c r="F270" s="219">
        <f t="shared" si="844"/>
        <v>30.282999999999998</v>
      </c>
      <c r="G270" s="219">
        <f t="shared" si="844"/>
        <v>25.791000000000004</v>
      </c>
      <c r="H270" s="219">
        <f t="shared" ref="H270:I270" si="845">SUM(H258:H269)</f>
        <v>24.783000000000001</v>
      </c>
      <c r="I270" s="219">
        <f t="shared" si="845"/>
        <v>20.724999999999998</v>
      </c>
      <c r="J270" s="252">
        <f t="shared" ref="J270" si="846">SUM(J258:J269)</f>
        <v>20.988</v>
      </c>
      <c r="K270" s="219"/>
      <c r="L270" s="94"/>
      <c r="M270" s="3"/>
      <c r="N270" s="92" t="s">
        <v>14</v>
      </c>
      <c r="O270" s="106">
        <f t="shared" ref="O270" si="847">+AVERAGE(O258:O269)</f>
        <v>33.313833333333335</v>
      </c>
      <c r="P270" s="83">
        <f>+AVERAGE(P258:P269)</f>
        <v>31.810500000000005</v>
      </c>
      <c r="Q270" s="83">
        <f t="shared" ref="Q270:W270" si="848">+AVERAGE(Q258:Q269)</f>
        <v>28.541499999999999</v>
      </c>
      <c r="R270" s="83">
        <f t="shared" si="848"/>
        <v>26.312249999999995</v>
      </c>
      <c r="S270" s="83">
        <f t="shared" si="848"/>
        <v>27.994916666666668</v>
      </c>
      <c r="T270" s="83">
        <f t="shared" si="848"/>
        <v>28.411249999999999</v>
      </c>
      <c r="U270" s="83">
        <f t="shared" si="848"/>
        <v>25.566833333333335</v>
      </c>
      <c r="V270" s="83">
        <f t="shared" si="848"/>
        <v>22.106916666666667</v>
      </c>
      <c r="W270" s="107">
        <f t="shared" si="848"/>
        <v>21.194999999999997</v>
      </c>
      <c r="X270" s="107">
        <f t="shared" ref="X270" si="849">+AVERAGE(X258:X269)</f>
        <v>20.086166666666671</v>
      </c>
      <c r="Y270" s="119">
        <f>+X270/W270-1</f>
        <v>-5.2315797751041559E-2</v>
      </c>
      <c r="Z270" s="173">
        <f>+POWER(X270/S270,0.2)-1</f>
        <v>-6.4241939881960919E-2</v>
      </c>
    </row>
    <row r="271" spans="1:26" ht="25.5" x14ac:dyDescent="0.25">
      <c r="A271" s="95" t="s">
        <v>15</v>
      </c>
      <c r="B271" s="108">
        <f t="shared" ref="B271:G271" si="850">+B270/B$360</f>
        <v>4.1174007683398919E-2</v>
      </c>
      <c r="C271" s="84">
        <f t="shared" si="850"/>
        <v>3.5767551859600011E-2</v>
      </c>
      <c r="D271" s="84">
        <f t="shared" si="850"/>
        <v>3.4944071045543881E-2</v>
      </c>
      <c r="E271" s="84">
        <f t="shared" si="850"/>
        <v>3.1336751690127049E-2</v>
      </c>
      <c r="F271" s="84">
        <f t="shared" si="850"/>
        <v>3.881520256759944E-2</v>
      </c>
      <c r="G271" s="84">
        <f t="shared" si="850"/>
        <v>3.1208404524619683E-2</v>
      </c>
      <c r="H271" s="84">
        <f t="shared" ref="H271:I271" si="851">+H270/H$360</f>
        <v>3.1468877771287811E-2</v>
      </c>
      <c r="I271" s="84">
        <f t="shared" si="851"/>
        <v>3.1777208420155259E-2</v>
      </c>
      <c r="J271" s="109">
        <f t="shared" ref="J271" si="852">+J270/J$360</f>
        <v>3.0809656275918765E-2</v>
      </c>
      <c r="K271" s="84"/>
      <c r="L271" s="97"/>
      <c r="M271" s="3"/>
      <c r="N271" s="95" t="s">
        <v>15</v>
      </c>
      <c r="O271" s="108">
        <f t="shared" ref="O271:W271" si="853">+O270/O$360</f>
        <v>4.1389942361829392E-2</v>
      </c>
      <c r="P271" s="84">
        <f t="shared" si="853"/>
        <v>3.9245134196982771E-2</v>
      </c>
      <c r="Q271" s="84">
        <f t="shared" si="853"/>
        <v>3.5232494157286791E-2</v>
      </c>
      <c r="R271" s="84">
        <f t="shared" si="853"/>
        <v>3.2205469892214934E-2</v>
      </c>
      <c r="S271" s="84">
        <f t="shared" si="853"/>
        <v>3.5610229539003356E-2</v>
      </c>
      <c r="T271" s="84">
        <f t="shared" si="853"/>
        <v>3.5431602826006395E-2</v>
      </c>
      <c r="U271" s="84">
        <f t="shared" si="853"/>
        <v>3.1237667412646084E-2</v>
      </c>
      <c r="V271" s="84">
        <f t="shared" si="853"/>
        <v>3.1033225811659175E-2</v>
      </c>
      <c r="W271" s="109">
        <f t="shared" si="853"/>
        <v>3.2406217039855037E-2</v>
      </c>
      <c r="X271" s="109">
        <f t="shared" ref="X271" si="854">+X270/X$360</f>
        <v>2.9501300077206621E-2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855">+D270/C270-1</f>
        <v>-7.9789079303405064E-4</v>
      </c>
      <c r="E272" s="85">
        <f t="shared" si="855"/>
        <v>-0.1338749435822657</v>
      </c>
      <c r="F272" s="85">
        <f t="shared" si="855"/>
        <v>0.21389345412273997</v>
      </c>
      <c r="G272" s="85">
        <f t="shared" si="855"/>
        <v>-0.14833404880626078</v>
      </c>
      <c r="H272" s="85">
        <f t="shared" si="855"/>
        <v>-3.9083401186460476E-2</v>
      </c>
      <c r="I272" s="85">
        <f t="shared" si="855"/>
        <v>-0.16374127426058194</v>
      </c>
      <c r="J272" s="111">
        <f t="shared" si="855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856">+Q270/P270-1</f>
        <v>-0.10276481036135887</v>
      </c>
      <c r="R272" s="85">
        <f t="shared" ref="R272" si="857">+R270/Q270-1</f>
        <v>-7.810556557994508E-2</v>
      </c>
      <c r="S272" s="85">
        <f t="shared" ref="S272" si="858">+S270/R270-1</f>
        <v>6.3949934599537128E-2</v>
      </c>
      <c r="T272" s="85">
        <f t="shared" ref="T272" si="859">+T270/S270-1</f>
        <v>1.4871747549406233E-2</v>
      </c>
      <c r="U272" s="85">
        <f t="shared" ref="U272" si="860">+U270/T270-1</f>
        <v>-0.10011585786146915</v>
      </c>
      <c r="V272" s="85">
        <f t="shared" ref="V272" si="861">+V270/U270-1</f>
        <v>-0.13532832250115712</v>
      </c>
      <c r="W272" s="111">
        <f t="shared" ref="W272:X272" si="862">+W270/V270-1</f>
        <v>-4.1250287428896804E-2</v>
      </c>
      <c r="X272" s="111">
        <f t="shared" si="862"/>
        <v>-5.2315797751041559E-2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863">+C275+1</f>
        <v>2018</v>
      </c>
      <c r="E275" s="82">
        <f t="shared" si="863"/>
        <v>2019</v>
      </c>
      <c r="F275" s="82">
        <f t="shared" si="863"/>
        <v>2020</v>
      </c>
      <c r="G275" s="82">
        <f t="shared" si="863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64">+P275+1</f>
        <v>2018</v>
      </c>
      <c r="R275" s="82">
        <f t="shared" ref="R275" si="865">+Q275+1</f>
        <v>2019</v>
      </c>
      <c r="S275" s="82">
        <f t="shared" ref="S275" si="866">+R275+1</f>
        <v>2020</v>
      </c>
      <c r="T275" s="82">
        <f t="shared" ref="T275" si="867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868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869">+SUM(D276)+SUM(C277:C287)</f>
        <v>22.567000000000004</v>
      </c>
      <c r="R276" s="6">
        <f t="shared" ref="R276:X276" si="870">+SUM(E276)+SUM(D277:D287)</f>
        <v>23.985999999999994</v>
      </c>
      <c r="S276" s="6">
        <f t="shared" si="870"/>
        <v>26.215</v>
      </c>
      <c r="T276" s="6">
        <f t="shared" si="870"/>
        <v>21.397000000000002</v>
      </c>
      <c r="U276" s="6">
        <f t="shared" si="870"/>
        <v>24.946000000000002</v>
      </c>
      <c r="V276" s="6">
        <f t="shared" si="870"/>
        <v>15.37</v>
      </c>
      <c r="W276" s="105">
        <f t="shared" si="870"/>
        <v>14.215</v>
      </c>
      <c r="X276" s="105">
        <f t="shared" si="870"/>
        <v>8.6660000000000004</v>
      </c>
      <c r="Y276" s="117">
        <f t="shared" ref="Y276:Y281" si="871">+X276/W276-1</f>
        <v>-0.39036229335209283</v>
      </c>
      <c r="Z276" s="113">
        <f t="shared" ref="Z276:Z281" si="872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868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873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874">+SUM(J276:J277)+SUM(I278:I287)</f>
        <v>13.728</v>
      </c>
      <c r="X277" s="105">
        <f t="shared" ref="X277" si="875">+SUM(K276:K277)+SUM(J278:J287)</f>
        <v>8.7629999999999999</v>
      </c>
      <c r="Y277" s="117">
        <f t="shared" si="871"/>
        <v>-0.36166958041958042</v>
      </c>
      <c r="Z277" s="113">
        <f t="shared" si="872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868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876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877">+SUM(I276:I278)+SUM(H279:H287)</f>
        <v>15.07</v>
      </c>
      <c r="W278" s="105">
        <f t="shared" ref="W278" si="878">+SUM(J276:J278)+SUM(I279:I287)</f>
        <v>13.044</v>
      </c>
      <c r="X278" s="105">
        <f t="shared" ref="X278" si="879">+SUM(K276:K278)+SUM(J279:J287)</f>
        <v>8.4669999999999987</v>
      </c>
      <c r="Y278" s="117">
        <f t="shared" si="871"/>
        <v>-0.35088929776142297</v>
      </c>
      <c r="Z278" s="113">
        <f t="shared" si="872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868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880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881">+SUM(I276:I279)+SUM(H280:H287)</f>
        <v>15.244999999999997</v>
      </c>
      <c r="W279" s="67">
        <f t="shared" ref="W279" si="882">+SUM(J276:J279)+SUM(I280:I287)</f>
        <v>12.577</v>
      </c>
      <c r="X279" s="37">
        <f t="shared" ref="X279" si="883">+SUM(K276:K279)+SUM(J280:J287)</f>
        <v>8.2829999999999995</v>
      </c>
      <c r="Y279" s="78">
        <f t="shared" si="871"/>
        <v>-0.34141687206806082</v>
      </c>
      <c r="Z279" s="7">
        <f t="shared" si="872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868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884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885">+SUM(I276:I280)+SUM(H281:H287)</f>
        <v>14.702999999999999</v>
      </c>
      <c r="W280" s="105">
        <f t="shared" ref="W280" si="886">+SUM(J276:J280)+SUM(I281:I287)</f>
        <v>12.399999999999999</v>
      </c>
      <c r="X280" s="105">
        <f t="shared" ref="X280" si="887">+SUM(K276:K280)+SUM(J281:J287)</f>
        <v>8.161999999999999</v>
      </c>
      <c r="Y280" s="117">
        <f t="shared" si="871"/>
        <v>-0.34177419354838712</v>
      </c>
      <c r="Z280" s="113">
        <f t="shared" si="872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868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888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889">+SUM(I276:I281)+SUM(H282:H287)</f>
        <v>14.876999999999999</v>
      </c>
      <c r="W281" s="105">
        <f t="shared" ref="W281" si="890">+SUM(J276:J281)+SUM(I282:I287)</f>
        <v>11.504000000000001</v>
      </c>
      <c r="X281" s="105">
        <f t="shared" ref="X281" si="891">+SUM(K276:K281)+SUM(J282:J287)</f>
        <v>8.1460000000000008</v>
      </c>
      <c r="Y281" s="117">
        <f t="shared" si="871"/>
        <v>-0.29189847009735748</v>
      </c>
      <c r="Z281" s="113">
        <f t="shared" si="872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/>
      <c r="L282" s="91"/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892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893">+SUM(I276:I282)+SUM(H283:H287)</f>
        <v>15.738</v>
      </c>
      <c r="W282" s="105">
        <f t="shared" ref="W282" si="894">+SUM(J276:J282)+SUM(I283:I287)</f>
        <v>10.904</v>
      </c>
      <c r="X282" s="105"/>
      <c r="Y282" s="117"/>
      <c r="Z282" s="113"/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/>
      <c r="L283" s="91"/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895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896">+SUM(I276:I283)+SUM(H284:H287)</f>
        <v>14.993999999999998</v>
      </c>
      <c r="W283" s="105">
        <f t="shared" ref="W283" si="897">+SUM(J276:J283)+SUM(I284:I287)</f>
        <v>10.596</v>
      </c>
      <c r="X283" s="105"/>
      <c r="Y283" s="117"/>
      <c r="Z283" s="113"/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/>
      <c r="L284" s="91"/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898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899">+SUM(I276:I284)+SUM(H285:H287)</f>
        <v>15.349999999999998</v>
      </c>
      <c r="W284" s="105">
        <f t="shared" ref="W284" si="900">+SUM(J276:J284)+SUM(I285:I287)</f>
        <v>10.372999999999999</v>
      </c>
      <c r="X284" s="105"/>
      <c r="Y284" s="117"/>
      <c r="Z284" s="113"/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901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902">+SUM(I276:I285)+SUM(H286:H287)</f>
        <v>14.632999999999999</v>
      </c>
      <c r="W285" s="105">
        <f t="shared" ref="W285" si="903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904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905">+SUM(I276:I286)+SUM(H287)</f>
        <v>14.414</v>
      </c>
      <c r="W286" s="105">
        <f t="shared" ref="W286" si="906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907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908">+SUM(I276:I287)</f>
        <v>14.286999999999999</v>
      </c>
      <c r="W287" s="105">
        <f t="shared" ref="W287" si="909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910">SUM(C276:C287)</f>
        <v>22.014000000000003</v>
      </c>
      <c r="D288" s="219">
        <f t="shared" si="910"/>
        <v>24.089999999999996</v>
      </c>
      <c r="E288" s="219">
        <f t="shared" si="910"/>
        <v>24.989000000000001</v>
      </c>
      <c r="F288" s="219">
        <f t="shared" si="910"/>
        <v>23.119999999999997</v>
      </c>
      <c r="G288" s="219">
        <f t="shared" ref="G288:I288" si="911">SUM(G276:G287)</f>
        <v>25.271000000000001</v>
      </c>
      <c r="H288" s="219">
        <f t="shared" si="911"/>
        <v>15.585000000000001</v>
      </c>
      <c r="I288" s="219">
        <f t="shared" si="911"/>
        <v>14.286999999999999</v>
      </c>
      <c r="J288" s="252">
        <f t="shared" ref="J288" si="912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913">+AVERAGE(Q276:Q287)</f>
        <v>23.298249999999996</v>
      </c>
      <c r="R288" s="83">
        <f t="shared" si="913"/>
        <v>24.339166666666667</v>
      </c>
      <c r="S288" s="83">
        <f t="shared" si="913"/>
        <v>24.39533333333333</v>
      </c>
      <c r="T288" s="83">
        <f t="shared" si="913"/>
        <v>24.654666666666667</v>
      </c>
      <c r="U288" s="83">
        <f t="shared" si="913"/>
        <v>20.460666666666665</v>
      </c>
      <c r="V288" s="83">
        <f t="shared" si="913"/>
        <v>14.962083333333332</v>
      </c>
      <c r="W288" s="107">
        <f t="shared" si="913"/>
        <v>11.501333333333335</v>
      </c>
      <c r="X288" s="107">
        <f t="shared" ref="X288" si="914">+AVERAGE(X276:X287)</f>
        <v>8.4145000000000003</v>
      </c>
      <c r="Y288" s="119">
        <f>+X288/W288-1</f>
        <v>-0.26838917226988179</v>
      </c>
      <c r="Z288" s="173">
        <f>+POWER(X288/S288,0.2)-1</f>
        <v>-0.19175260856167031</v>
      </c>
    </row>
    <row r="289" spans="1:26" ht="25.5" x14ac:dyDescent="0.25">
      <c r="A289" s="95" t="s">
        <v>15</v>
      </c>
      <c r="B289" s="108">
        <f t="shared" ref="B289:G289" si="915">+B288/B$360</f>
        <v>2.822877822204484E-2</v>
      </c>
      <c r="C289" s="84">
        <f t="shared" si="915"/>
        <v>2.7315162930591646E-2</v>
      </c>
      <c r="D289" s="84">
        <f t="shared" si="915"/>
        <v>2.9226215029238344E-2</v>
      </c>
      <c r="E289" s="84">
        <f t="shared" si="915"/>
        <v>3.1389509279054983E-2</v>
      </c>
      <c r="F289" s="84">
        <f t="shared" si="915"/>
        <v>2.9634035048142486E-2</v>
      </c>
      <c r="G289" s="84">
        <f t="shared" si="915"/>
        <v>3.0579178424321042E-2</v>
      </c>
      <c r="H289" s="84">
        <f t="shared" ref="H289:I289" si="916">+H288/H$360</f>
        <v>1.9789471010996269E-2</v>
      </c>
      <c r="I289" s="84">
        <f t="shared" si="916"/>
        <v>2.1905957862425003E-2</v>
      </c>
      <c r="J289" s="109">
        <f t="shared" ref="J289" si="917">+J288/J$360</f>
        <v>1.2831484920326186E-2</v>
      </c>
      <c r="K289" s="84"/>
      <c r="L289" s="97"/>
      <c r="M289" s="3"/>
      <c r="N289" s="95" t="s">
        <v>15</v>
      </c>
      <c r="O289" s="108">
        <f t="shared" ref="O289:W289" si="918">+O288/O$360</f>
        <v>2.6426381654351135E-2</v>
      </c>
      <c r="P289" s="84">
        <f t="shared" si="918"/>
        <v>2.7708960965111638E-2</v>
      </c>
      <c r="Q289" s="84">
        <f t="shared" si="918"/>
        <v>2.8760067165355951E-2</v>
      </c>
      <c r="R289" s="84">
        <f t="shared" si="918"/>
        <v>2.9790470191068223E-2</v>
      </c>
      <c r="S289" s="84">
        <f t="shared" si="918"/>
        <v>3.1031470106674116E-2</v>
      </c>
      <c r="T289" s="84">
        <f t="shared" si="918"/>
        <v>3.0746776616337273E-2</v>
      </c>
      <c r="U289" s="84">
        <f t="shared" si="918"/>
        <v>2.4998930921220089E-2</v>
      </c>
      <c r="V289" s="84">
        <f t="shared" si="918"/>
        <v>2.1003458677541893E-2</v>
      </c>
      <c r="W289" s="109">
        <f t="shared" si="918"/>
        <v>1.7585029688498208E-2</v>
      </c>
      <c r="X289" s="109">
        <f t="shared" ref="X289" si="919">+X288/X$360</f>
        <v>1.2358689122679211E-2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920">+D288/C288-1</f>
        <v>9.4303624965930366E-2</v>
      </c>
      <c r="E290" s="85">
        <f t="shared" si="920"/>
        <v>3.7318389373184102E-2</v>
      </c>
      <c r="F290" s="85">
        <f t="shared" si="920"/>
        <v>-7.4792908879907305E-2</v>
      </c>
      <c r="G290" s="85">
        <f t="shared" si="920"/>
        <v>9.3036332179931014E-2</v>
      </c>
      <c r="H290" s="85">
        <f t="shared" si="920"/>
        <v>-0.38328518855605243</v>
      </c>
      <c r="I290" s="85">
        <f t="shared" si="920"/>
        <v>-8.3285210137953314E-2</v>
      </c>
      <c r="J290" s="111">
        <f t="shared" si="920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921">+Q288/P288-1</f>
        <v>3.7333452064248096E-2</v>
      </c>
      <c r="R290" s="85">
        <f t="shared" ref="R290" si="922">+R288/Q288-1</f>
        <v>4.4677890685638211E-2</v>
      </c>
      <c r="S290" s="85">
        <f t="shared" ref="S290" si="923">+S288/R288-1</f>
        <v>2.3076659704863722E-3</v>
      </c>
      <c r="T290" s="85">
        <f t="shared" ref="T290" si="924">+T288/S288-1</f>
        <v>1.0630448446424356E-2</v>
      </c>
      <c r="U290" s="85">
        <f t="shared" ref="U290" si="925">+U288/T288-1</f>
        <v>-0.17010978313774283</v>
      </c>
      <c r="V290" s="85">
        <f t="shared" ref="V290" si="926">+V288/U288-1</f>
        <v>-0.26873920693362874</v>
      </c>
      <c r="W290" s="111">
        <f t="shared" ref="W290:X290" si="927">+W288/V288-1</f>
        <v>-0.2313013450666962</v>
      </c>
      <c r="X290" s="111">
        <f t="shared" si="927"/>
        <v>-0.26838917226988179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928">+C293+1</f>
        <v>2018</v>
      </c>
      <c r="E293" s="82">
        <f t="shared" si="928"/>
        <v>2019</v>
      </c>
      <c r="F293" s="82">
        <f t="shared" si="928"/>
        <v>2020</v>
      </c>
      <c r="G293" s="82">
        <f t="shared" si="928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29">+P293+1</f>
        <v>2018</v>
      </c>
      <c r="R293" s="82">
        <f t="shared" ref="R293" si="930">+Q293+1</f>
        <v>2019</v>
      </c>
      <c r="S293" s="82">
        <f t="shared" ref="S293" si="931">+R293+1</f>
        <v>2020</v>
      </c>
      <c r="T293" s="82">
        <f t="shared" ref="T293" si="932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933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934">+SUM(D294)+SUM(C295:C305)</f>
        <v>19.911999999999999</v>
      </c>
      <c r="R294" s="6">
        <f t="shared" ref="R294:X294" si="935">+SUM(E294)+SUM(D295:D305)</f>
        <v>20.489000000000001</v>
      </c>
      <c r="S294" s="6">
        <f t="shared" si="935"/>
        <v>21.276999999999997</v>
      </c>
      <c r="T294" s="6">
        <f t="shared" si="935"/>
        <v>18.841000000000001</v>
      </c>
      <c r="U294" s="6">
        <f t="shared" si="935"/>
        <v>23.666</v>
      </c>
      <c r="V294" s="6">
        <f t="shared" si="935"/>
        <v>30.631999999999998</v>
      </c>
      <c r="W294" s="105">
        <f t="shared" si="935"/>
        <v>25.460999999999999</v>
      </c>
      <c r="X294" s="105">
        <f t="shared" si="935"/>
        <v>22.640999999999998</v>
      </c>
      <c r="Y294" s="117">
        <f t="shared" ref="Y294:Y299" si="936">+X294/W294-1</f>
        <v>-0.11075762931542366</v>
      </c>
      <c r="Z294" s="113">
        <f t="shared" ref="Z294:Z299" si="937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933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938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939">+SUM(J294:J295)+SUM(I296:I305)</f>
        <v>24.143999999999998</v>
      </c>
      <c r="X295" s="105">
        <f t="shared" ref="X295" si="940">+SUM(K294:K295)+SUM(J296:J305)</f>
        <v>23.118999999999996</v>
      </c>
      <c r="Y295" s="117">
        <f t="shared" si="936"/>
        <v>-4.2453611663353263E-2</v>
      </c>
      <c r="Z295" s="113">
        <f t="shared" si="937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933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941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942">+SUM(I294:I296)+SUM(H297:H305)</f>
        <v>30.272000000000002</v>
      </c>
      <c r="W296" s="105">
        <f t="shared" ref="W296" si="943">+SUM(J294:J296)+SUM(I297:I305)</f>
        <v>23.771000000000001</v>
      </c>
      <c r="X296" s="105">
        <f t="shared" ref="X296" si="944">+SUM(K294:K296)+SUM(J297:J305)</f>
        <v>23.041</v>
      </c>
      <c r="Y296" s="117">
        <f t="shared" si="936"/>
        <v>-3.0709688275630032E-2</v>
      </c>
      <c r="Z296" s="113">
        <f t="shared" si="937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933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945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946">+SUM(I294:I297)+SUM(H298:H305)</f>
        <v>29.867000000000001</v>
      </c>
      <c r="W297" s="67">
        <f t="shared" ref="W297" si="947">+SUM(J294:J297)+SUM(I298:I305)</f>
        <v>23.564</v>
      </c>
      <c r="X297" s="37">
        <f t="shared" ref="X297" si="948">+SUM(K294:K297)+SUM(J298:J305)</f>
        <v>22.741</v>
      </c>
      <c r="Y297" s="78">
        <f t="shared" si="936"/>
        <v>-3.4926158546936037E-2</v>
      </c>
      <c r="Z297" s="7">
        <f t="shared" si="937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933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949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950">+SUM(I294:I298)+SUM(H299:H305)</f>
        <v>29.651000000000003</v>
      </c>
      <c r="W298" s="105">
        <f t="shared" ref="W298" si="951">+SUM(J294:J298)+SUM(I299:I305)</f>
        <v>23.148999999999997</v>
      </c>
      <c r="X298" s="105">
        <f t="shared" ref="X298" si="952">+SUM(K294:K298)+SUM(J299:J305)</f>
        <v>21.927999999999997</v>
      </c>
      <c r="Y298" s="117">
        <f t="shared" si="936"/>
        <v>-5.27452589744698E-2</v>
      </c>
      <c r="Z298" s="113">
        <f t="shared" si="937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933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953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954">+SUM(I294:I299)+SUM(H300:H305)</f>
        <v>29.680000000000003</v>
      </c>
      <c r="W299" s="105">
        <f t="shared" ref="W299" si="955">+SUM(J294:J299)+SUM(I300:I305)</f>
        <v>22.298999999999999</v>
      </c>
      <c r="X299" s="105">
        <f t="shared" ref="X299" si="956">+SUM(K294:K299)+SUM(J300:J305)</f>
        <v>21.753</v>
      </c>
      <c r="Y299" s="117">
        <f t="shared" si="936"/>
        <v>-2.448540293286694E-2</v>
      </c>
      <c r="Z299" s="113">
        <f t="shared" si="937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/>
      <c r="L300" s="91"/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957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958">+SUM(I294:I300)+SUM(H301:H305)</f>
        <v>30.909000000000002</v>
      </c>
      <c r="W300" s="105">
        <f t="shared" ref="W300" si="959">+SUM(J294:J300)+SUM(I301:I305)</f>
        <v>21.914000000000001</v>
      </c>
      <c r="X300" s="105"/>
      <c r="Y300" s="117"/>
      <c r="Z300" s="113"/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/>
      <c r="L301" s="91"/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960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961">+SUM(I294:I301)+SUM(H302:H305)</f>
        <v>28.006</v>
      </c>
      <c r="W301" s="105">
        <f t="shared" ref="W301" si="962">+SUM(J294:J301)+SUM(I302:I305)</f>
        <v>22.878</v>
      </c>
      <c r="X301" s="105"/>
      <c r="Y301" s="117"/>
      <c r="Z301" s="113"/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/>
      <c r="L302" s="91"/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963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964">+SUM(I294:I302)+SUM(H303:H305)</f>
        <v>26.553000000000004</v>
      </c>
      <c r="W302" s="105">
        <f t="shared" ref="W302" si="965">+SUM(J294:J302)+SUM(I303:I305)</f>
        <v>23.352</v>
      </c>
      <c r="X302" s="105"/>
      <c r="Y302" s="117"/>
      <c r="Z302" s="113"/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/>
      <c r="L303" s="91"/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966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967">+SUM(I294:I303)+SUM(H304:H305)</f>
        <v>26.741000000000003</v>
      </c>
      <c r="W303" s="105">
        <f t="shared" ref="W303" si="968">+SUM(J294:J303)+SUM(I304:I305)</f>
        <v>21.876999999999999</v>
      </c>
      <c r="X303" s="105"/>
      <c r="Y303" s="117"/>
      <c r="Z303" s="113"/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969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970">+SUM(I294:I304)+SUM(H305)</f>
        <v>25.947000000000006</v>
      </c>
      <c r="W304" s="105">
        <f t="shared" ref="W304" si="971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972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973">+SUM(I294:I305)</f>
        <v>26.183000000000003</v>
      </c>
      <c r="W305" s="105">
        <f t="shared" ref="W305" si="974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975">SUM(C294:C305)</f>
        <v>20.087999999999997</v>
      </c>
      <c r="D306" s="219">
        <f t="shared" si="975"/>
        <v>20.754000000000001</v>
      </c>
      <c r="E306" s="219">
        <f t="shared" si="975"/>
        <v>20.804999999999996</v>
      </c>
      <c r="F306" s="219">
        <f t="shared" si="975"/>
        <v>18.506</v>
      </c>
      <c r="G306" s="219">
        <f t="shared" ref="G306" si="976">SUM(G294:G305)</f>
        <v>23.956</v>
      </c>
      <c r="H306" s="219">
        <f t="shared" ref="H306:I306" si="977">SUM(H294:H305)</f>
        <v>29.952000000000002</v>
      </c>
      <c r="I306" s="219">
        <f t="shared" si="977"/>
        <v>26.183000000000003</v>
      </c>
      <c r="J306" s="252">
        <f t="shared" ref="J306" si="978">SUM(J294:J305)</f>
        <v>22.74</v>
      </c>
      <c r="K306" s="219"/>
      <c r="L306" s="94"/>
      <c r="M306" s="3"/>
      <c r="N306" s="92" t="s">
        <v>14</v>
      </c>
      <c r="O306" s="106">
        <f t="shared" ref="O306" si="979">+AVERAGE(O294:O305)</f>
        <v>23.516499999999997</v>
      </c>
      <c r="P306" s="83">
        <f>+AVERAGE(P294:P305)</f>
        <v>22.472999999999999</v>
      </c>
      <c r="Q306" s="83">
        <f t="shared" ref="Q306:W306" si="980">+AVERAGE(Q294:Q305)</f>
        <v>20.147916666666667</v>
      </c>
      <c r="R306" s="83">
        <f t="shared" si="980"/>
        <v>21.534833333333335</v>
      </c>
      <c r="S306" s="83">
        <f t="shared" si="980"/>
        <v>19.425583333333336</v>
      </c>
      <c r="T306" s="83">
        <f t="shared" si="980"/>
        <v>22.323083333333333</v>
      </c>
      <c r="U306" s="83">
        <f t="shared" si="980"/>
        <v>27.108499999999996</v>
      </c>
      <c r="V306" s="83">
        <f t="shared" si="980"/>
        <v>28.774833333333333</v>
      </c>
      <c r="W306" s="107">
        <f t="shared" si="980"/>
        <v>23.175250000000002</v>
      </c>
      <c r="X306" s="107">
        <f t="shared" ref="X306" si="981">+AVERAGE(X294:X305)</f>
        <v>22.537166666666664</v>
      </c>
      <c r="Y306" s="119">
        <f>+X306/W306-1</f>
        <v>-2.7532964405274529E-2</v>
      </c>
      <c r="Z306" s="173">
        <f>+POWER(X306/S306,0.2)-1</f>
        <v>3.0160869971664672E-2</v>
      </c>
    </row>
    <row r="307" spans="1:26" ht="25.5" x14ac:dyDescent="0.25">
      <c r="A307" s="95" t="s">
        <v>15</v>
      </c>
      <c r="B307" s="108">
        <f t="shared" ref="B307:G307" si="982">+B306/B$360</f>
        <v>3.2807476745353351E-2</v>
      </c>
      <c r="C307" s="84">
        <f t="shared" si="982"/>
        <v>2.4925365356124503E-2</v>
      </c>
      <c r="D307" s="84">
        <f t="shared" si="982"/>
        <v>2.5178948390071097E-2</v>
      </c>
      <c r="E307" s="84">
        <f t="shared" si="982"/>
        <v>2.6133848515376319E-2</v>
      </c>
      <c r="F307" s="84">
        <f t="shared" si="982"/>
        <v>2.3720045527721667E-2</v>
      </c>
      <c r="G307" s="84">
        <f t="shared" si="982"/>
        <v>2.8987962420681208E-2</v>
      </c>
      <c r="H307" s="84">
        <f t="shared" ref="H307:I307" si="983">+H306/H$360</f>
        <v>3.8032353912182244E-2</v>
      </c>
      <c r="I307" s="84">
        <f t="shared" si="983"/>
        <v>4.0145845503735837E-2</v>
      </c>
      <c r="J307" s="109">
        <f t="shared" ref="J307" si="984">+J306/J$360</f>
        <v>3.3381531528225303E-2</v>
      </c>
      <c r="K307" s="84"/>
      <c r="L307" s="97"/>
      <c r="M307" s="3"/>
      <c r="N307" s="95" t="s">
        <v>15</v>
      </c>
      <c r="O307" s="108">
        <f t="shared" ref="O307:W307" si="985">+O306/O$360</f>
        <v>2.9217489617985343E-2</v>
      </c>
      <c r="P307" s="84">
        <f t="shared" si="985"/>
        <v>2.7725307706851315E-2</v>
      </c>
      <c r="Q307" s="84">
        <f t="shared" si="985"/>
        <v>2.4871200050447052E-2</v>
      </c>
      <c r="R307" s="84">
        <f t="shared" si="985"/>
        <v>2.6358043365752967E-2</v>
      </c>
      <c r="S307" s="84">
        <f t="shared" si="985"/>
        <v>2.4709824632294718E-2</v>
      </c>
      <c r="T307" s="84">
        <f t="shared" si="985"/>
        <v>2.7839064543746211E-2</v>
      </c>
      <c r="U307" s="84">
        <f t="shared" si="985"/>
        <v>3.3121282405814155E-2</v>
      </c>
      <c r="V307" s="84">
        <f t="shared" si="985"/>
        <v>4.0393507334862355E-2</v>
      </c>
      <c r="W307" s="109">
        <f t="shared" si="985"/>
        <v>3.5433931656187807E-2</v>
      </c>
      <c r="X307" s="109">
        <f t="shared" ref="X307" si="986">+X306/X$360</f>
        <v>3.3101174940797645E-2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987">+D306/C306-1</f>
        <v>3.3154121863799402E-2</v>
      </c>
      <c r="E308" s="85">
        <f t="shared" si="987"/>
        <v>2.4573576178084089E-3</v>
      </c>
      <c r="F308" s="85">
        <f t="shared" si="987"/>
        <v>-0.11050228310502264</v>
      </c>
      <c r="G308" s="85">
        <f t="shared" si="987"/>
        <v>0.29449908137901226</v>
      </c>
      <c r="H308" s="85">
        <f t="shared" si="987"/>
        <v>0.25029220237101368</v>
      </c>
      <c r="I308" s="85">
        <f t="shared" si="987"/>
        <v>-0.12583466880341876</v>
      </c>
      <c r="J308" s="111">
        <f t="shared" si="987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988">+Q306/P306-1</f>
        <v>-0.10346119046559565</v>
      </c>
      <c r="R308" s="85">
        <f t="shared" ref="R308" si="989">+R306/Q306-1</f>
        <v>6.8836728363147692E-2</v>
      </c>
      <c r="S308" s="85">
        <f t="shared" ref="S308" si="990">+S306/R306-1</f>
        <v>-9.7945963516473222E-2</v>
      </c>
      <c r="T308" s="85">
        <f t="shared" ref="T308" si="991">+T306/S306-1</f>
        <v>0.14915896991510325</v>
      </c>
      <c r="U308" s="85">
        <f t="shared" ref="U308" si="992">+U306/T306-1</f>
        <v>0.21437077464657261</v>
      </c>
      <c r="V308" s="85">
        <f t="shared" ref="V308" si="993">+V306/U306-1</f>
        <v>6.1469034927544408E-2</v>
      </c>
      <c r="W308" s="111">
        <f t="shared" ref="W308:X308" si="994">+W306/V306-1</f>
        <v>-0.19460002664365261</v>
      </c>
      <c r="X308" s="111">
        <f t="shared" si="994"/>
        <v>-2.7532964405274529E-2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995">+C311+1</f>
        <v>2018</v>
      </c>
      <c r="E311" s="82">
        <f t="shared" si="995"/>
        <v>2019</v>
      </c>
      <c r="F311" s="82">
        <f t="shared" si="995"/>
        <v>2020</v>
      </c>
      <c r="G311" s="82">
        <f t="shared" si="995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96">+P311+1</f>
        <v>2018</v>
      </c>
      <c r="R311" s="82">
        <f t="shared" ref="R311" si="997">+Q311+1</f>
        <v>2019</v>
      </c>
      <c r="S311" s="82">
        <f t="shared" ref="S311" si="998">+R311+1</f>
        <v>2020</v>
      </c>
      <c r="T311" s="82">
        <f t="shared" ref="T311" si="999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000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001">+SUM(D312)+SUM(C313:C323)</f>
        <v>20.227</v>
      </c>
      <c r="R312" s="6">
        <f t="shared" ref="R312:X312" si="1002">+SUM(E312)+SUM(D313:D323)</f>
        <v>18.009999999999998</v>
      </c>
      <c r="S312" s="6">
        <f t="shared" si="1002"/>
        <v>13.75</v>
      </c>
      <c r="T312" s="6">
        <f t="shared" si="1002"/>
        <v>12.577</v>
      </c>
      <c r="U312" s="6">
        <f t="shared" si="1002"/>
        <v>17.052</v>
      </c>
      <c r="V312" s="6">
        <f t="shared" si="1002"/>
        <v>15.709</v>
      </c>
      <c r="W312" s="105">
        <f t="shared" si="1002"/>
        <v>9.0310000000000006</v>
      </c>
      <c r="X312" s="105">
        <f t="shared" si="1002"/>
        <v>11.547000000000001</v>
      </c>
      <c r="Y312" s="117">
        <f t="shared" ref="Y312:Y317" si="1003">+X312/W312-1</f>
        <v>0.27859594729265869</v>
      </c>
      <c r="Z312" s="113">
        <f t="shared" ref="Z312:Z317" si="1004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000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005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006">+SUM(J312:J313)+SUM(I314:I323)</f>
        <v>8.7149999999999999</v>
      </c>
      <c r="X313" s="105">
        <f t="shared" ref="X313" si="1007">+SUM(K312:K313)+SUM(J314:J323)</f>
        <v>12.100999999999999</v>
      </c>
      <c r="Y313" s="117">
        <f t="shared" si="1003"/>
        <v>0.38852553069420526</v>
      </c>
      <c r="Z313" s="113">
        <f t="shared" si="1004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000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008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009">+SUM(I312:I314)+SUM(H315:H323)</f>
        <v>15.324999999999999</v>
      </c>
      <c r="W314" s="105">
        <f t="shared" ref="W314" si="1010">+SUM(J312:J314)+SUM(I315:I323)</f>
        <v>8.2650000000000006</v>
      </c>
      <c r="X314" s="105">
        <f t="shared" ref="X314" si="1011">+SUM(K312:K314)+SUM(J315:J323)</f>
        <v>12.436</v>
      </c>
      <c r="Y314" s="117">
        <f t="shared" si="1003"/>
        <v>0.50465819721718086</v>
      </c>
      <c r="Z314" s="113">
        <f t="shared" si="1004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000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012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013">+SUM(I312:I315)+SUM(H316:H323)</f>
        <v>15.062999999999999</v>
      </c>
      <c r="W315" s="67">
        <f t="shared" ref="W315" si="1014">+SUM(J312:J315)+SUM(I316:I323)</f>
        <v>8.2230000000000008</v>
      </c>
      <c r="X315" s="37">
        <f t="shared" ref="X315" si="1015">+SUM(K312:K315)+SUM(J316:J323)</f>
        <v>12.524000000000001</v>
      </c>
      <c r="Y315" s="78">
        <f t="shared" si="1003"/>
        <v>0.5230451173537638</v>
      </c>
      <c r="Z315" s="7">
        <f t="shared" si="1004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000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016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017">+SUM(I312:I316)+SUM(H317:H323)</f>
        <v>14.29</v>
      </c>
      <c r="W316" s="105">
        <f t="shared" ref="W316" si="1018">+SUM(J312:J316)+SUM(I317:I323)</f>
        <v>8.8719999999999999</v>
      </c>
      <c r="X316" s="105">
        <f t="shared" ref="X316" si="1019">+SUM(K312:K316)+SUM(J317:J323)</f>
        <v>12.416</v>
      </c>
      <c r="Y316" s="117">
        <f t="shared" si="1003"/>
        <v>0.39945897204688907</v>
      </c>
      <c r="Z316" s="113">
        <f t="shared" si="1004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000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020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021">+SUM(I312:I317)+SUM(H318:H323)</f>
        <v>13.667999999999999</v>
      </c>
      <c r="W317" s="105">
        <f t="shared" ref="W317" si="1022">+SUM(J312:J317)+SUM(I318:I323)</f>
        <v>9.2940000000000005</v>
      </c>
      <c r="X317" s="105">
        <f t="shared" ref="X317" si="1023">+SUM(K312:K317)+SUM(J318:J323)</f>
        <v>12.821000000000002</v>
      </c>
      <c r="Y317" s="117">
        <f t="shared" si="1003"/>
        <v>0.37949214547019583</v>
      </c>
      <c r="Z317" s="113">
        <f t="shared" si="1004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/>
      <c r="L318" s="91"/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024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025">+SUM(I312:I318)+SUM(H319:H323)</f>
        <v>11.440999999999999</v>
      </c>
      <c r="W318" s="105">
        <f t="shared" ref="W318" si="1026">+SUM(J312:J318)+SUM(I319:I323)</f>
        <v>9.3129999999999988</v>
      </c>
      <c r="X318" s="105"/>
      <c r="Y318" s="117"/>
      <c r="Z318" s="113"/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/>
      <c r="L319" s="91"/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02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028">+SUM(I312:I319)+SUM(H320:H323)</f>
        <v>10.384999999999998</v>
      </c>
      <c r="W319" s="105">
        <f t="shared" ref="W319" si="1029">+SUM(J312:J319)+SUM(I320:I323)</f>
        <v>10.545</v>
      </c>
      <c r="X319" s="105"/>
      <c r="Y319" s="117"/>
      <c r="Z319" s="113"/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/>
      <c r="L320" s="91"/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030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031">+SUM(I312:I320)+SUM(H321:H323)</f>
        <v>10.469999999999999</v>
      </c>
      <c r="W320" s="105">
        <f t="shared" ref="W320" si="1032">+SUM(J312:J320)+SUM(I321:I323)</f>
        <v>10.821</v>
      </c>
      <c r="X320" s="105"/>
      <c r="Y320" s="117"/>
      <c r="Z320" s="113"/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/>
      <c r="L321" s="91"/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033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034">+SUM(I312:I321)+SUM(H322:H323)</f>
        <v>9.961999999999998</v>
      </c>
      <c r="W321" s="105">
        <f t="shared" ref="W321" si="1035">+SUM(J312:J321)+SUM(I322:I323)</f>
        <v>11.544</v>
      </c>
      <c r="X321" s="105"/>
      <c r="Y321" s="117"/>
      <c r="Z321" s="113"/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036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037">+SUM(I312:I322)+SUM(H323)</f>
        <v>10.068999999999997</v>
      </c>
      <c r="W322" s="105">
        <f t="shared" ref="W322" si="1038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039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040">+SUM(I312:I323)</f>
        <v>10.108999999999996</v>
      </c>
      <c r="W323" s="105">
        <f t="shared" ref="W323" si="1041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042">SUM(C312:C323)</f>
        <v>20.253</v>
      </c>
      <c r="D324" s="219">
        <f t="shared" si="1042"/>
        <v>18.211000000000002</v>
      </c>
      <c r="E324" s="219">
        <f t="shared" si="1042"/>
        <v>14.154999999999999</v>
      </c>
      <c r="F324" s="219">
        <f t="shared" si="1042"/>
        <v>12.728</v>
      </c>
      <c r="G324" s="219">
        <f t="shared" ref="G324" si="1043">SUM(G312:G323)</f>
        <v>16.673000000000002</v>
      </c>
      <c r="H324" s="219">
        <f t="shared" ref="H324" si="1044">SUM(H312:H323)</f>
        <v>15.202999999999999</v>
      </c>
      <c r="I324" s="219">
        <f t="shared" ref="I324:J324" si="1045">SUM(I312:I323)</f>
        <v>10.108999999999996</v>
      </c>
      <c r="J324" s="252">
        <f t="shared" si="1045"/>
        <v>11.265000000000001</v>
      </c>
      <c r="K324" s="219"/>
      <c r="L324" s="94"/>
      <c r="M324" s="3"/>
      <c r="N324" s="92" t="s">
        <v>14</v>
      </c>
      <c r="O324" s="106">
        <f t="shared" ref="O324" si="1046">+AVERAGE(O312:O323)</f>
        <v>12.674083333333334</v>
      </c>
      <c r="P324" s="83">
        <f>+AVERAGE(P312:P323)</f>
        <v>18.802916666666672</v>
      </c>
      <c r="Q324" s="83">
        <f t="shared" ref="Q324:W324" si="1047">+AVERAGE(Q312:Q323)</f>
        <v>19.705749999999998</v>
      </c>
      <c r="R324" s="83">
        <f t="shared" si="1047"/>
        <v>15.702166666666665</v>
      </c>
      <c r="S324" s="83">
        <f t="shared" si="1047"/>
        <v>13.465416666666668</v>
      </c>
      <c r="T324" s="83">
        <f t="shared" si="1047"/>
        <v>15.016</v>
      </c>
      <c r="U324" s="83">
        <f t="shared" si="1047"/>
        <v>16.117249999999999</v>
      </c>
      <c r="V324" s="83">
        <f t="shared" si="1047"/>
        <v>12.657833333333331</v>
      </c>
      <c r="W324" s="107">
        <f t="shared" si="1047"/>
        <v>9.805083333333334</v>
      </c>
      <c r="X324" s="107">
        <f t="shared" ref="X324" si="1048">+AVERAGE(X312:X323)</f>
        <v>12.307499999999999</v>
      </c>
      <c r="Y324" s="119">
        <f>+X324/W324-1</f>
        <v>0.25521625687356031</v>
      </c>
      <c r="Z324" s="173">
        <f>+POWER(X324/S324,0.2)-1</f>
        <v>-1.7822435288451843E-2</v>
      </c>
    </row>
    <row r="325" spans="1:26" ht="25.5" x14ac:dyDescent="0.25">
      <c r="A325" s="95" t="s">
        <v>15</v>
      </c>
      <c r="B325" s="108">
        <f t="shared" ref="B325:G325" si="1049">+B324/B$360</f>
        <v>2.0078939700744102E-2</v>
      </c>
      <c r="C325" s="84">
        <f t="shared" si="1049"/>
        <v>2.5130098793189448E-2</v>
      </c>
      <c r="D325" s="84">
        <f t="shared" si="1049"/>
        <v>2.2093756824303014E-2</v>
      </c>
      <c r="E325" s="84">
        <f t="shared" si="1049"/>
        <v>1.7780563601785718E-2</v>
      </c>
      <c r="F325" s="84">
        <f t="shared" si="1049"/>
        <v>1.631410026352758E-2</v>
      </c>
      <c r="G325" s="84">
        <f t="shared" si="1049"/>
        <v>2.01751668659216E-2</v>
      </c>
      <c r="H325" s="84">
        <f t="shared" ref="H325" si="1050">+H324/H$360</f>
        <v>1.9304416283617339E-2</v>
      </c>
      <c r="I325" s="84">
        <f t="shared" ref="I325:J325" si="1051">+I324/I$360</f>
        <v>1.5499917969570539E-2</v>
      </c>
      <c r="J325" s="109">
        <f t="shared" si="1051"/>
        <v>1.6536629404813461E-2</v>
      </c>
      <c r="K325" s="84"/>
      <c r="L325" s="97"/>
      <c r="M325" s="3"/>
      <c r="N325" s="95" t="s">
        <v>15</v>
      </c>
      <c r="O325" s="108">
        <f t="shared" ref="O325:W325" si="1052">+O324/O$360</f>
        <v>1.5746599120155969E-2</v>
      </c>
      <c r="P325" s="84">
        <f t="shared" si="1052"/>
        <v>2.3197465864353513E-2</v>
      </c>
      <c r="Q325" s="84">
        <f t="shared" si="1052"/>
        <v>2.4325376092355137E-2</v>
      </c>
      <c r="R325" s="84">
        <f t="shared" si="1052"/>
        <v>1.9219019879557025E-2</v>
      </c>
      <c r="S325" s="84">
        <f t="shared" si="1052"/>
        <v>1.7128344550825767E-2</v>
      </c>
      <c r="T325" s="84">
        <f t="shared" si="1052"/>
        <v>1.8726418163062589E-2</v>
      </c>
      <c r="U325" s="84">
        <f t="shared" si="1052"/>
        <v>1.9692125674792341E-2</v>
      </c>
      <c r="V325" s="84">
        <f t="shared" si="1052"/>
        <v>1.7768800870904496E-2</v>
      </c>
      <c r="W325" s="109">
        <f t="shared" si="1052"/>
        <v>1.4991538504074798E-2</v>
      </c>
      <c r="X325" s="109">
        <f t="shared" ref="X325" si="1053">+X324/X$360</f>
        <v>1.8076483020663659E-2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054">+D324/C324-1</f>
        <v>-0.10082456919962468</v>
      </c>
      <c r="E326" s="85">
        <f t="shared" si="1054"/>
        <v>-0.22272253033880629</v>
      </c>
      <c r="F326" s="85">
        <f t="shared" si="1054"/>
        <v>-0.10081243376898619</v>
      </c>
      <c r="G326" s="85">
        <f t="shared" si="1054"/>
        <v>0.30994657448145846</v>
      </c>
      <c r="H326" s="85">
        <f t="shared" si="1054"/>
        <v>-8.8166496731242217E-2</v>
      </c>
      <c r="I326" s="85">
        <f t="shared" si="1054"/>
        <v>-0.33506544760902479</v>
      </c>
      <c r="J326" s="111">
        <f t="shared" si="1054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055">+Q324/P324-1</f>
        <v>4.8015600416601689E-2</v>
      </c>
      <c r="R326" s="85">
        <f t="shared" ref="R326" si="1056">+R324/Q324-1</f>
        <v>-0.2031682799859601</v>
      </c>
      <c r="S326" s="85">
        <f t="shared" ref="S326" si="1057">+S324/R324-1</f>
        <v>-0.14244849436914209</v>
      </c>
      <c r="T326" s="85">
        <f t="shared" ref="T326" si="1058">+T324/S324-1</f>
        <v>0.1151530154407896</v>
      </c>
      <c r="U326" s="85">
        <f t="shared" ref="U326" si="1059">+U324/T324-1</f>
        <v>7.3338438998401534E-2</v>
      </c>
      <c r="V326" s="85">
        <f t="shared" ref="V326" si="1060">+V324/U324-1</f>
        <v>-0.21464062831231556</v>
      </c>
      <c r="W326" s="111">
        <f t="shared" ref="W326:X326" si="1061">+W324/V324-1</f>
        <v>-0.22537427416487787</v>
      </c>
      <c r="X326" s="111">
        <f t="shared" si="1061"/>
        <v>0.25521625687356031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062">+C329+1</f>
        <v>2018</v>
      </c>
      <c r="E329" s="82">
        <f t="shared" ref="E329" si="1063">+D329+1</f>
        <v>2019</v>
      </c>
      <c r="F329" s="82">
        <f t="shared" ref="F329" si="1064">+E329+1</f>
        <v>2020</v>
      </c>
      <c r="G329" s="82">
        <f t="shared" ref="G329" si="1065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066">+P329+1</f>
        <v>2018</v>
      </c>
      <c r="R329" s="82">
        <f t="shared" ref="R329" si="1067">+Q329+1</f>
        <v>2019</v>
      </c>
      <c r="S329" s="82">
        <f t="shared" ref="S329" si="1068">+R329+1</f>
        <v>2020</v>
      </c>
      <c r="T329" s="82">
        <f t="shared" ref="T329" si="1069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070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071">+SUM(D330)+SUM(C331:C341)</f>
        <v>16.526</v>
      </c>
      <c r="R330" s="6">
        <f t="shared" ref="R330:X330" si="1072">+SUM(E330)+SUM(D331:D341)</f>
        <v>16.315000000000001</v>
      </c>
      <c r="S330" s="6">
        <f t="shared" si="1072"/>
        <v>13.053000000000001</v>
      </c>
      <c r="T330" s="6">
        <f t="shared" si="1072"/>
        <v>12.303000000000001</v>
      </c>
      <c r="U330" s="6">
        <f t="shared" si="1072"/>
        <v>14.052</v>
      </c>
      <c r="V330" s="6">
        <f t="shared" si="1072"/>
        <v>11.45</v>
      </c>
      <c r="W330" s="105">
        <f t="shared" si="1072"/>
        <v>11.013</v>
      </c>
      <c r="X330" s="105">
        <f t="shared" si="1072"/>
        <v>10.715000000000002</v>
      </c>
      <c r="Y330" s="117">
        <f t="shared" ref="Y330:Y335" si="1073">+X330/W330-1</f>
        <v>-2.7058930355034816E-2</v>
      </c>
      <c r="Z330" s="113">
        <f t="shared" ref="Z330:Z335" si="1074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070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075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076">+SUM(J330:J331)+SUM(I332:I341)</f>
        <v>11.106999999999999</v>
      </c>
      <c r="X331" s="105">
        <f t="shared" ref="X331" si="1077">+SUM(K330:K331)+SUM(J332:J341)</f>
        <v>10.196000000000003</v>
      </c>
      <c r="Y331" s="117">
        <f t="shared" si="1073"/>
        <v>-8.2020347528585225E-2</v>
      </c>
      <c r="Z331" s="113">
        <f t="shared" si="1074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070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078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079">+SUM(I330:I332)+SUM(H333:H341)</f>
        <v>11.375</v>
      </c>
      <c r="W332" s="105">
        <f t="shared" ref="W332" si="1080">+SUM(J330:J332)+SUM(I333:I341)</f>
        <v>10.763999999999999</v>
      </c>
      <c r="X332" s="105">
        <f t="shared" ref="X332" si="1081">+SUM(K330:K332)+SUM(J333:J341)</f>
        <v>10.627999999999998</v>
      </c>
      <c r="Y332" s="117">
        <f t="shared" si="1073"/>
        <v>-1.263470828688229E-2</v>
      </c>
      <c r="Z332" s="113">
        <f t="shared" si="1074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070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082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083">+SUM(I330:I333)+SUM(H334:H341)</f>
        <v>10.667</v>
      </c>
      <c r="W333" s="67">
        <f t="shared" ref="W333" si="1084">+SUM(J330:J333)+SUM(I334:I341)</f>
        <v>11.306000000000001</v>
      </c>
      <c r="X333" s="37">
        <f t="shared" ref="X333" si="1085">+SUM(K330:K333)+SUM(J334:J341)</f>
        <v>10.861999999999998</v>
      </c>
      <c r="Y333" s="78">
        <f t="shared" si="1073"/>
        <v>-3.9271183442420199E-2</v>
      </c>
      <c r="Z333" s="7">
        <f t="shared" si="1074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070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086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087">+SUM(I330:I334)+SUM(H335:H341)</f>
        <v>10.302999999999999</v>
      </c>
      <c r="W334" s="105">
        <f t="shared" ref="W334" si="1088">+SUM(J330:J334)+SUM(I335:I341)</f>
        <v>11.263</v>
      </c>
      <c r="X334" s="105">
        <f t="shared" ref="X334" si="1089">+SUM(K330:K334)+SUM(J335:J341)</f>
        <v>11.474999999999998</v>
      </c>
      <c r="Y334" s="117">
        <f t="shared" si="1073"/>
        <v>1.8822693776080701E-2</v>
      </c>
      <c r="Z334" s="113">
        <f t="shared" si="1074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070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090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091">+SUM(I330:I335)+SUM(H336:H341)</f>
        <v>9.85</v>
      </c>
      <c r="W335" s="105">
        <f t="shared" ref="W335" si="1092">+SUM(J330:J335)+SUM(I336:I341)</f>
        <v>11.065999999999999</v>
      </c>
      <c r="X335" s="105">
        <f t="shared" ref="X335" si="1093">+SUM(K330:K335)+SUM(J336:J341)</f>
        <v>11.552</v>
      </c>
      <c r="Y335" s="117">
        <f t="shared" si="1073"/>
        <v>4.3918308331827305E-2</v>
      </c>
      <c r="Z335" s="113">
        <f t="shared" si="1074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/>
      <c r="L336" s="91"/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094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095">+SUM(I330:I336)+SUM(H337:H341)</f>
        <v>10.196999999999999</v>
      </c>
      <c r="W336" s="105">
        <f t="shared" ref="W336" si="1096">+SUM(J330:J336)+SUM(I337:I341)</f>
        <v>11.259</v>
      </c>
      <c r="X336" s="105"/>
      <c r="Y336" s="117"/>
      <c r="Z336" s="113"/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/>
      <c r="L337" s="91"/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097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098">+SUM(I330:I337)+SUM(H338:H341)</f>
        <v>10.193999999999999</v>
      </c>
      <c r="W337" s="105">
        <f t="shared" ref="W337" si="1099">+SUM(J330:J337)+SUM(I338:I341)</f>
        <v>11.381</v>
      </c>
      <c r="X337" s="105"/>
      <c r="Y337" s="117"/>
      <c r="Z337" s="113"/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/>
      <c r="L338" s="91"/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100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101">+SUM(I330:I338)+SUM(H339:H341)</f>
        <v>10.003</v>
      </c>
      <c r="W338" s="105">
        <f t="shared" ref="W338" si="1102">+SUM(J330:J338)+SUM(I339:I341)</f>
        <v>11.91</v>
      </c>
      <c r="X338" s="105"/>
      <c r="Y338" s="117"/>
      <c r="Z338" s="113"/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/>
      <c r="L339" s="91"/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103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104">+SUM(I330:I339)+SUM(H340:H341)</f>
        <v>10.45</v>
      </c>
      <c r="W339" s="105">
        <f t="shared" ref="W339" si="1105">+SUM(J330:J339)+SUM(I340:I341)</f>
        <v>11.312999999999999</v>
      </c>
      <c r="X339" s="105"/>
      <c r="Y339" s="117"/>
      <c r="Z339" s="113"/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106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107">+SUM(I330:I340)+SUM(H341)</f>
        <v>10.956</v>
      </c>
      <c r="W340" s="105">
        <f t="shared" ref="W340" si="1108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109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110">+SUM(I330:I341)</f>
        <v>11.716999999999999</v>
      </c>
      <c r="W341" s="105">
        <f t="shared" ref="W341" si="1111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112">SUM(C330:C341)</f>
        <v>16.402999999999999</v>
      </c>
      <c r="D342" s="219">
        <f t="shared" si="1112"/>
        <v>16.618000000000002</v>
      </c>
      <c r="E342" s="219">
        <f t="shared" si="1112"/>
        <v>12.704000000000001</v>
      </c>
      <c r="F342" s="219">
        <f t="shared" si="1112"/>
        <v>11.519</v>
      </c>
      <c r="G342" s="219">
        <f t="shared" ref="G342" si="1113">SUM(G330:G341)</f>
        <v>15.180000000000001</v>
      </c>
      <c r="H342" s="219">
        <f t="shared" ref="H342:I342" si="1114">SUM(H330:H341)</f>
        <v>10.941000000000001</v>
      </c>
      <c r="I342" s="219">
        <f t="shared" si="1114"/>
        <v>11.716999999999999</v>
      </c>
      <c r="J342" s="252">
        <f t="shared" ref="J342" si="1115">SUM(J330:J341)</f>
        <v>10.593999999999999</v>
      </c>
      <c r="K342" s="219"/>
      <c r="L342" s="94"/>
      <c r="M342" s="3"/>
      <c r="N342" s="92" t="s">
        <v>14</v>
      </c>
      <c r="O342" s="106">
        <f t="shared" ref="O342" si="1116">+AVERAGE(O330:O341)</f>
        <v>15.152166666666668</v>
      </c>
      <c r="P342" s="83">
        <f>+AVERAGE(P330:P341)</f>
        <v>15.597499999999998</v>
      </c>
      <c r="Q342" s="83">
        <f t="shared" ref="Q342:W342" si="1117">+AVERAGE(Q330:Q341)</f>
        <v>16.394083333333331</v>
      </c>
      <c r="R342" s="83">
        <f t="shared" si="1117"/>
        <v>14.558250000000001</v>
      </c>
      <c r="S342" s="83">
        <f t="shared" si="1117"/>
        <v>12.112250000000001</v>
      </c>
      <c r="T342" s="83">
        <f t="shared" si="1117"/>
        <v>13.785583333333335</v>
      </c>
      <c r="U342" s="83">
        <f t="shared" si="1117"/>
        <v>12.814666666666668</v>
      </c>
      <c r="V342" s="83">
        <f t="shared" si="1117"/>
        <v>10.668416666666667</v>
      </c>
      <c r="W342" s="107">
        <f t="shared" si="1117"/>
        <v>11.169749999999999</v>
      </c>
      <c r="X342" s="107">
        <f t="shared" ref="X342" si="1118">+AVERAGE(X330:X341)</f>
        <v>10.904666666666666</v>
      </c>
      <c r="Y342" s="119">
        <f>+X342/W342-1</f>
        <v>-2.3732253034609796E-2</v>
      </c>
      <c r="Z342" s="173">
        <f>+POWER(X342/S342,0.2)-1</f>
        <v>-2.0786226256665041E-2</v>
      </c>
    </row>
    <row r="343" spans="1:26" ht="25.5" x14ac:dyDescent="0.25">
      <c r="A343" s="95" t="s">
        <v>15</v>
      </c>
      <c r="B343" s="108">
        <f t="shared" ref="B343:G343" si="1119">+B342/B$360</f>
        <v>1.7965882574746638E-2</v>
      </c>
      <c r="C343" s="84">
        <f t="shared" si="1119"/>
        <v>2.0352985261674145E-2</v>
      </c>
      <c r="D343" s="84">
        <f t="shared" si="1119"/>
        <v>2.0161114211535196E-2</v>
      </c>
      <c r="E343" s="84">
        <f t="shared" si="1119"/>
        <v>1.595791451763234E-2</v>
      </c>
      <c r="F343" s="84">
        <f t="shared" si="1119"/>
        <v>1.4764465818319781E-2</v>
      </c>
      <c r="G343" s="84">
        <f t="shared" si="1119"/>
        <v>1.8368561927948772E-2</v>
      </c>
      <c r="H343" s="84">
        <f t="shared" ref="H343:I343" si="1120">+H342/H$360</f>
        <v>1.3892627676054552E-2</v>
      </c>
      <c r="I343" s="84">
        <f t="shared" si="1120"/>
        <v>1.7965430690420225E-2</v>
      </c>
      <c r="J343" s="109">
        <f t="shared" ref="J343" si="1121">+J342/J$360</f>
        <v>1.5551624670625281E-2</v>
      </c>
      <c r="K343" s="84"/>
      <c r="L343" s="97"/>
      <c r="M343" s="3"/>
      <c r="N343" s="95" t="s">
        <v>15</v>
      </c>
      <c r="O343" s="108">
        <f t="shared" ref="O343:W343" si="1122">+O342/O$360</f>
        <v>1.8825432027441032E-2</v>
      </c>
      <c r="P343" s="84">
        <f t="shared" si="1122"/>
        <v>1.9242890889405659E-2</v>
      </c>
      <c r="Q343" s="84">
        <f t="shared" si="1122"/>
        <v>2.023735421248846E-2</v>
      </c>
      <c r="R343" s="84">
        <f t="shared" si="1122"/>
        <v>1.781889735991176E-2</v>
      </c>
      <c r="S343" s="84">
        <f t="shared" si="1122"/>
        <v>1.5407082931143812E-2</v>
      </c>
      <c r="T343" s="84">
        <f t="shared" si="1122"/>
        <v>1.7191968441778522E-2</v>
      </c>
      <c r="U343" s="84">
        <f t="shared" si="1122"/>
        <v>1.5657015091319691E-2</v>
      </c>
      <c r="V343" s="84">
        <f t="shared" si="1122"/>
        <v>1.4976099492370108E-2</v>
      </c>
      <c r="W343" s="109">
        <f t="shared" si="1122"/>
        <v>1.7078053445667412E-2</v>
      </c>
      <c r="X343" s="109">
        <f t="shared" ref="X343" si="1123">+X342/X$360</f>
        <v>1.6016089526386106E-2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124">+D342/C342-1</f>
        <v>1.3107358410047176E-2</v>
      </c>
      <c r="E344" s="85">
        <f t="shared" ref="E344" si="1125">+E342/D342-1</f>
        <v>-0.23552774100373097</v>
      </c>
      <c r="F344" s="85">
        <f t="shared" ref="F344:J344" si="1126">+F342/E342-1</f>
        <v>-9.3277707808564259E-2</v>
      </c>
      <c r="G344" s="85">
        <f t="shared" si="1126"/>
        <v>0.31782272766733244</v>
      </c>
      <c r="H344" s="85">
        <f t="shared" si="1126"/>
        <v>-0.27924901185770756</v>
      </c>
      <c r="I344" s="85">
        <f t="shared" si="1126"/>
        <v>7.0925875148523776E-2</v>
      </c>
      <c r="J344" s="111">
        <f t="shared" si="1126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127">+Q342/P342-1</f>
        <v>5.1071218678206964E-2</v>
      </c>
      <c r="R344" s="85">
        <f t="shared" ref="R344" si="1128">+R342/Q342-1</f>
        <v>-0.11198145672473281</v>
      </c>
      <c r="S344" s="85">
        <f t="shared" ref="S344" si="1129">+S342/R342-1</f>
        <v>-0.16801469956897286</v>
      </c>
      <c r="T344" s="85">
        <f t="shared" ref="T344" si="1130">+T342/S342-1</f>
        <v>0.13815214624312855</v>
      </c>
      <c r="U344" s="85">
        <f t="shared" ref="U344" si="1131">+U342/T342-1</f>
        <v>-7.0429857278437091E-2</v>
      </c>
      <c r="V344" s="85">
        <f t="shared" ref="V344" si="1132">+V342/U342-1</f>
        <v>-0.16748387264592657</v>
      </c>
      <c r="W344" s="111">
        <f t="shared" ref="W344:X344" si="1133">+W342/V342-1</f>
        <v>4.6992290327368069E-2</v>
      </c>
      <c r="X344" s="111">
        <f t="shared" si="1133"/>
        <v>-2.3732253034609796E-2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9" t="s">
        <v>80</v>
      </c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1"/>
      <c r="M346" s="2"/>
      <c r="N346" s="379" t="s">
        <v>81</v>
      </c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1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134">+C347+1</f>
        <v>2018</v>
      </c>
      <c r="E347" s="82">
        <f t="shared" si="1134"/>
        <v>2019</v>
      </c>
      <c r="F347" s="82">
        <f t="shared" si="1134"/>
        <v>2020</v>
      </c>
      <c r="G347" s="82">
        <f t="shared" si="1134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135">+P347+1</f>
        <v>2018</v>
      </c>
      <c r="R347" s="82">
        <f t="shared" ref="R347" si="1136">+Q347+1</f>
        <v>2019</v>
      </c>
      <c r="S347" s="82">
        <f t="shared" ref="S347" si="1137">+R347+1</f>
        <v>2020</v>
      </c>
      <c r="T347" s="82">
        <f t="shared" ref="T347" si="1138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139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140">+SUM(D348)+SUM(C349:C359)</f>
        <v>804.14900000000011</v>
      </c>
      <c r="R348" s="6">
        <f t="shared" ref="R348:X348" si="1141">+SUM(E348)+SUM(D349:D359)</f>
        <v>820.02800000000002</v>
      </c>
      <c r="S348" s="6">
        <f t="shared" si="1141"/>
        <v>797.82400000000007</v>
      </c>
      <c r="T348" s="6">
        <f t="shared" si="1141"/>
        <v>780.97699999999998</v>
      </c>
      <c r="U348" s="6">
        <f t="shared" si="1141"/>
        <v>811.57800000000009</v>
      </c>
      <c r="V348" s="6">
        <f t="shared" si="1141"/>
        <v>799.00699999999995</v>
      </c>
      <c r="W348" s="105">
        <f t="shared" si="1141"/>
        <v>642.02599999999995</v>
      </c>
      <c r="X348" s="105">
        <f t="shared" si="1141"/>
        <v>676.3119999999999</v>
      </c>
      <c r="Y348" s="117">
        <f t="shared" ref="Y348:Y353" si="1142">+X348/W348-1</f>
        <v>5.3402821692579261E-2</v>
      </c>
      <c r="Z348" s="113">
        <f t="shared" ref="Z348:Z353" si="1143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139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144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145">+SUM(J348:J349)+SUM(I350:I359)</f>
        <v>638.1579999999999</v>
      </c>
      <c r="X349" s="105">
        <f t="shared" ref="X349" si="1146">+SUM(K348:K349)+SUM(J350:J359)</f>
        <v>678.16600000000005</v>
      </c>
      <c r="Y349" s="117">
        <f t="shared" si="1142"/>
        <v>6.2692938112505203E-2</v>
      </c>
      <c r="Z349" s="113">
        <f t="shared" si="1143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139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147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148">+SUM(I348:I350)+SUM(H351:H359)</f>
        <v>768.10599999999999</v>
      </c>
      <c r="W350" s="105">
        <f t="shared" ref="W350" si="1149">+SUM(J348:J350)+SUM(I351:I359)</f>
        <v>638.83500000000004</v>
      </c>
      <c r="X350" s="105">
        <f t="shared" ref="X350" si="1150">+SUM(K348:K350)+SUM(J351:J359)</f>
        <v>680.154</v>
      </c>
      <c r="Y350" s="117">
        <f t="shared" si="1142"/>
        <v>6.4678672896757217E-2</v>
      </c>
      <c r="Z350" s="113">
        <f t="shared" si="1143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139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151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152">+SUM(I348:I351)+SUM(H352:H359)</f>
        <v>758.88600000000008</v>
      </c>
      <c r="W351" s="67">
        <f t="shared" ref="W351" si="1153">+SUM(J348:J351)+SUM(I352:I359)</f>
        <v>634.64099999999996</v>
      </c>
      <c r="X351" s="37">
        <f t="shared" ref="X351" si="1154">+SUM(K348:K351)+SUM(J352:J359)</f>
        <v>681.26400000000001</v>
      </c>
      <c r="Y351" s="78">
        <f t="shared" si="1142"/>
        <v>7.3463580197308476E-2</v>
      </c>
      <c r="Z351" s="7">
        <f t="shared" si="1143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139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155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156">+SUM(I348:I352)+SUM(H353:H359)</f>
        <v>727.90100000000007</v>
      </c>
      <c r="W352" s="105">
        <f t="shared" ref="W352" si="1157">+SUM(J348:J352)+SUM(I353:I359)</f>
        <v>642.26299999999992</v>
      </c>
      <c r="X352" s="105">
        <f t="shared" ref="X352" si="1158">+SUM(K348:K352)+SUM(J353:J359)</f>
        <v>677.82600000000002</v>
      </c>
      <c r="Y352" s="117">
        <f t="shared" si="1142"/>
        <v>5.5371397698450897E-2</v>
      </c>
      <c r="Z352" s="113">
        <f t="shared" si="1143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139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159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160">+SUM(I348:I353)+SUM(H354:H359)</f>
        <v>706.99500000000012</v>
      </c>
      <c r="W353" s="105">
        <f t="shared" ref="W353" si="1161">+SUM(J348:J353)+SUM(I354:I359)</f>
        <v>631.05199999999991</v>
      </c>
      <c r="X353" s="105">
        <f t="shared" ref="X353" si="1162">+SUM(K348:K353)+SUM(J354:J359)</f>
        <v>691.42000000000007</v>
      </c>
      <c r="Y353" s="117">
        <f t="shared" si="1142"/>
        <v>9.5662481063367499E-2</v>
      </c>
      <c r="Z353" s="113">
        <f t="shared" si="1143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/>
      <c r="L354" s="91"/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163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164">+SUM(I348:I354)+SUM(H355:H359)</f>
        <v>713.12900000000002</v>
      </c>
      <c r="W354" s="105">
        <f t="shared" ref="W354" si="1165">+SUM(J348:J354)+SUM(I355:I359)</f>
        <v>652.98599999999988</v>
      </c>
      <c r="X354" s="105"/>
      <c r="Y354" s="117"/>
      <c r="Z354" s="113"/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/>
      <c r="L355" s="91"/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166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167">+SUM(I348:I355)+SUM(H356:H359)</f>
        <v>676.61700000000008</v>
      </c>
      <c r="W355" s="105">
        <f t="shared" ref="W355" si="1168">+SUM(J348:J355)+SUM(I356:I359)</f>
        <v>669.81699999999989</v>
      </c>
      <c r="X355" s="105"/>
      <c r="Y355" s="117"/>
      <c r="Z355" s="113"/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/>
      <c r="L356" s="91"/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169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170">+SUM(I348:I356)+SUM(H357:H359)</f>
        <v>663.54500000000007</v>
      </c>
      <c r="W356" s="105">
        <f t="shared" ref="W356" si="1171">+SUM(J348:J356)+SUM(I357:I359)</f>
        <v>671.37099999999987</v>
      </c>
      <c r="X356" s="105"/>
      <c r="Y356" s="117"/>
      <c r="Z356" s="113"/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/>
      <c r="L357" s="91"/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172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173">+SUM(I348:I357)+SUM(H358:H359)</f>
        <v>652.96500000000003</v>
      </c>
      <c r="W357" s="105">
        <f t="shared" ref="W357" si="1174">+SUM(J348:J357)+SUM(I358:I359)</f>
        <v>670.60599999999988</v>
      </c>
      <c r="X357" s="105"/>
      <c r="Y357" s="117"/>
      <c r="Z357" s="113"/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175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176">+SUM(I348:I358)+SUM(H359)</f>
        <v>652.471</v>
      </c>
      <c r="W358" s="105">
        <f t="shared" ref="W358" si="1177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178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179">+SUM(I348:I359)</f>
        <v>652.197</v>
      </c>
      <c r="W359" s="105">
        <f t="shared" ref="W359" si="1180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181">SUM(C348:C359)</f>
        <v>805.92600000000004</v>
      </c>
      <c r="D360" s="83">
        <f t="shared" si="1181"/>
        <v>824.26</v>
      </c>
      <c r="E360" s="83">
        <f t="shared" si="1181"/>
        <v>796.09400000000005</v>
      </c>
      <c r="F360" s="83">
        <f t="shared" si="1181"/>
        <v>780.18399999999997</v>
      </c>
      <c r="G360" s="83">
        <f t="shared" ref="G360:H360" si="1182">SUM(G348:G359)</f>
        <v>826.41200000000003</v>
      </c>
      <c r="H360" s="83">
        <f t="shared" si="1182"/>
        <v>787.54</v>
      </c>
      <c r="I360" s="83">
        <f t="shared" ref="I360:J360" si="1183">SUM(I348:I359)</f>
        <v>652.197</v>
      </c>
      <c r="J360" s="107">
        <f t="shared" si="1183"/>
        <v>681.21499999999992</v>
      </c>
      <c r="K360" s="83"/>
      <c r="L360" s="94"/>
      <c r="M360" s="3"/>
      <c r="N360" s="92" t="s">
        <v>14</v>
      </c>
      <c r="O360" s="106">
        <f t="shared" ref="O360" si="1184">+AVERAGE(O348:O359)</f>
        <v>804.87749999999994</v>
      </c>
      <c r="P360" s="83">
        <f>+AVERAGE(P348:P359)</f>
        <v>810.55908333333321</v>
      </c>
      <c r="Q360" s="83">
        <f t="shared" ref="Q360:X360" si="1185">+AVERAGE(Q348:Q359)</f>
        <v>810.09025000000008</v>
      </c>
      <c r="R360" s="83">
        <f t="shared" si="1185"/>
        <v>817.01183333333336</v>
      </c>
      <c r="S360" s="83">
        <f t="shared" si="1185"/>
        <v>786.14816666666673</v>
      </c>
      <c r="T360" s="83">
        <f t="shared" si="1185"/>
        <v>801.86183333333327</v>
      </c>
      <c r="U360" s="83">
        <f t="shared" si="1185"/>
        <v>818.4616666666667</v>
      </c>
      <c r="V360" s="83">
        <f t="shared" si="1185"/>
        <v>712.36283333333347</v>
      </c>
      <c r="W360" s="107">
        <f t="shared" si="1185"/>
        <v>654.04116666666653</v>
      </c>
      <c r="X360" s="107">
        <f t="shared" si="1185"/>
        <v>680.85700000000008</v>
      </c>
      <c r="Y360" s="119">
        <f>+X360/W360-1</f>
        <v>4.1000222463061453E-2</v>
      </c>
      <c r="Z360" s="173">
        <f>+POWER(X360/S360,0.2)-1</f>
        <v>-2.8349004006262946E-2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186">+D360/C360-1</f>
        <v>2.2748986879688626E-2</v>
      </c>
      <c r="E361" s="85">
        <f t="shared" si="1186"/>
        <v>-3.4171256642321568E-2</v>
      </c>
      <c r="F361" s="85">
        <f t="shared" si="1186"/>
        <v>-1.998507713913189E-2</v>
      </c>
      <c r="G361" s="85">
        <f t="shared" si="1186"/>
        <v>5.9252689109235757E-2</v>
      </c>
      <c r="H361" s="85">
        <f t="shared" si="1186"/>
        <v>-4.7037071097709271E-2</v>
      </c>
      <c r="I361" s="85">
        <f t="shared" si="1186"/>
        <v>-0.17185539782106296</v>
      </c>
      <c r="J361" s="111">
        <f t="shared" si="1186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187">+Q360/P360-1</f>
        <v>-5.7840735237346674E-4</v>
      </c>
      <c r="R361" s="85">
        <f t="shared" si="1187"/>
        <v>8.544212614993496E-3</v>
      </c>
      <c r="S361" s="85">
        <f t="shared" si="1187"/>
        <v>-3.7776278638151028E-2</v>
      </c>
      <c r="T361" s="85">
        <f t="shared" si="1187"/>
        <v>1.9988174409022452E-2</v>
      </c>
      <c r="U361" s="85">
        <f t="shared" si="1187"/>
        <v>2.0701612975302819E-2</v>
      </c>
      <c r="V361" s="85">
        <f t="shared" si="1187"/>
        <v>-0.12963201290225346</v>
      </c>
      <c r="W361" s="111">
        <f t="shared" si="1187"/>
        <v>-8.1870732073098917E-2</v>
      </c>
      <c r="X361" s="111">
        <f t="shared" si="1187"/>
        <v>4.1000222463061453E-2</v>
      </c>
      <c r="Y361" s="99"/>
      <c r="Z361" s="115"/>
    </row>
    <row r="362" spans="1:26" ht="15.75" thickBot="1" x14ac:dyDescent="0.3"/>
    <row r="363" spans="1:26" ht="15.75" thickBot="1" x14ac:dyDescent="0.3">
      <c r="A363" s="373" t="s">
        <v>137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138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188">+C364+1</f>
        <v>2018</v>
      </c>
      <c r="E364" s="129">
        <f t="shared" si="1188"/>
        <v>2019</v>
      </c>
      <c r="F364" s="129">
        <f t="shared" si="1188"/>
        <v>2020</v>
      </c>
      <c r="G364" s="129">
        <f t="shared" si="1188"/>
        <v>2021</v>
      </c>
      <c r="H364" s="129">
        <f t="shared" si="1188"/>
        <v>2022</v>
      </c>
      <c r="I364" s="129">
        <f t="shared" si="1188"/>
        <v>2023</v>
      </c>
      <c r="J364" s="130">
        <f t="shared" si="1188"/>
        <v>2024</v>
      </c>
      <c r="K364" s="130">
        <f t="shared" si="1188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189">+P364+1</f>
        <v>2018</v>
      </c>
      <c r="R364" s="129">
        <f t="shared" si="1189"/>
        <v>2019</v>
      </c>
      <c r="S364" s="129">
        <f t="shared" si="1189"/>
        <v>2020</v>
      </c>
      <c r="T364" s="129">
        <f t="shared" si="1189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190">+B186/B7</f>
        <v>3.1172102117421248</v>
      </c>
      <c r="C365" s="158">
        <f t="shared" si="1190"/>
        <v>3.4315154149968747</v>
      </c>
      <c r="D365" s="158">
        <f t="shared" si="1190"/>
        <v>4.6406014070739472</v>
      </c>
      <c r="E365" s="158">
        <f t="shared" si="1190"/>
        <v>2.3100996759205237</v>
      </c>
      <c r="F365" s="158">
        <f t="shared" si="1190"/>
        <v>4.126903072844061</v>
      </c>
      <c r="G365" s="158">
        <f t="shared" si="1190"/>
        <v>3.6709237135925257</v>
      </c>
      <c r="H365" s="158">
        <f t="shared" ref="H365:I365" si="1191">+H186/H7</f>
        <v>2.7790540415559044</v>
      </c>
      <c r="I365" s="158">
        <f t="shared" si="1191"/>
        <v>4.2753135713385255</v>
      </c>
      <c r="J365" s="180">
        <f t="shared" ref="J365:K376" si="1192">+J186/J7</f>
        <v>3.9574994267108865</v>
      </c>
      <c r="K365" s="180">
        <f t="shared" si="1192"/>
        <v>3.3521505417547361</v>
      </c>
      <c r="L365" s="127">
        <f t="shared" ref="L365:L370" si="1193">+K365/J365-1</f>
        <v>-0.15296246939933511</v>
      </c>
      <c r="M365" s="2"/>
      <c r="N365" s="133" t="s">
        <v>10</v>
      </c>
      <c r="O365" s="158">
        <f t="shared" ref="O365:T370" si="1194">+O186/O7</f>
        <v>3.1379365500967795</v>
      </c>
      <c r="P365" s="158">
        <f t="shared" si="1194"/>
        <v>3.9910933405119691</v>
      </c>
      <c r="Q365" s="158">
        <f t="shared" si="1194"/>
        <v>4.4444241672988403</v>
      </c>
      <c r="R365" s="158">
        <f t="shared" si="1194"/>
        <v>4.0206382290467184</v>
      </c>
      <c r="S365" s="158">
        <f t="shared" si="1194"/>
        <v>3.8515049853193828</v>
      </c>
      <c r="T365" s="158">
        <f t="shared" si="1194"/>
        <v>3.6701086884924519</v>
      </c>
      <c r="U365" s="158">
        <f t="shared" ref="U365:X370" si="1195">+U186/U7</f>
        <v>3.5046432187123218</v>
      </c>
      <c r="V365" s="158">
        <f t="shared" si="1195"/>
        <v>3.6526208595320626</v>
      </c>
      <c r="W365" s="180">
        <f t="shared" si="1195"/>
        <v>4.2136920981102568</v>
      </c>
      <c r="X365" s="180">
        <f t="shared" si="1195"/>
        <v>4.2868756003635848</v>
      </c>
      <c r="Y365" s="147">
        <f t="shared" ref="Y365:Y370" si="1196">+X365/W365-1</f>
        <v>1.7368023232202656E-2</v>
      </c>
      <c r="Z365" s="127">
        <f t="shared" ref="Z365:Z370" si="1197">+POWER(X365/S365,0.2)-1</f>
        <v>2.1649868259866256E-2</v>
      </c>
    </row>
    <row r="366" spans="1:26" x14ac:dyDescent="0.25">
      <c r="A366" s="133" t="s">
        <v>11</v>
      </c>
      <c r="B366" s="158">
        <f t="shared" si="1190"/>
        <v>3.0170014018163931</v>
      </c>
      <c r="C366" s="158">
        <f t="shared" si="1190"/>
        <v>4.0283004628907699</v>
      </c>
      <c r="D366" s="158">
        <f t="shared" si="1190"/>
        <v>4.1005771919638088</v>
      </c>
      <c r="E366" s="158">
        <f t="shared" si="1190"/>
        <v>2.7774237056400706</v>
      </c>
      <c r="F366" s="158">
        <f t="shared" si="1190"/>
        <v>4.187302512157407</v>
      </c>
      <c r="G366" s="158">
        <f t="shared" si="1190"/>
        <v>3.8467220111738216</v>
      </c>
      <c r="H366" s="158">
        <f t="shared" ref="H366:I370" si="1198">+H187/H8</f>
        <v>3.4328980345950502</v>
      </c>
      <c r="I366" s="158">
        <f t="shared" si="1198"/>
        <v>4.1605867964775367</v>
      </c>
      <c r="J366" s="180">
        <f t="shared" si="1192"/>
        <v>4.3119233731782201</v>
      </c>
      <c r="K366" s="180">
        <f t="shared" si="1192"/>
        <v>3.7473649108582165</v>
      </c>
      <c r="L366" s="127">
        <f t="shared" si="1193"/>
        <v>-0.1309296138775955</v>
      </c>
      <c r="M366" s="2"/>
      <c r="N366" s="133" t="s">
        <v>11</v>
      </c>
      <c r="O366" s="158">
        <f t="shared" si="1194"/>
        <v>3.2051702717457951</v>
      </c>
      <c r="P366" s="158">
        <f t="shared" si="1194"/>
        <v>4.0890319748556063</v>
      </c>
      <c r="Q366" s="158">
        <f t="shared" si="1194"/>
        <v>4.4491937622553968</v>
      </c>
      <c r="R366" s="158">
        <f t="shared" si="1194"/>
        <v>3.8796606170757499</v>
      </c>
      <c r="S366" s="158">
        <f t="shared" si="1194"/>
        <v>4.0044535781358936</v>
      </c>
      <c r="T366" s="158">
        <f t="shared" si="1194"/>
        <v>3.6456666744711792</v>
      </c>
      <c r="U366" s="158">
        <f t="shared" ref="U366:W371" si="1199">+U187/U8</f>
        <v>3.4760689055006622</v>
      </c>
      <c r="V366" s="158">
        <f t="shared" si="1199"/>
        <v>3.7008833762025786</v>
      </c>
      <c r="W366" s="180">
        <f t="shared" si="1199"/>
        <v>4.2250464618976045</v>
      </c>
      <c r="X366" s="180">
        <f t="shared" si="1195"/>
        <v>4.239524393443844</v>
      </c>
      <c r="Y366" s="147">
        <f t="shared" si="1196"/>
        <v>3.4266916770748779E-3</v>
      </c>
      <c r="Z366" s="127">
        <f t="shared" si="1197"/>
        <v>1.1474119520889836E-2</v>
      </c>
    </row>
    <row r="367" spans="1:26" x14ac:dyDescent="0.25">
      <c r="A367" s="133" t="s">
        <v>0</v>
      </c>
      <c r="B367" s="158">
        <f t="shared" si="1190"/>
        <v>5.6023773642837673</v>
      </c>
      <c r="C367" s="158">
        <f t="shared" si="1190"/>
        <v>4.2178451484070081</v>
      </c>
      <c r="D367" s="158">
        <f t="shared" si="1190"/>
        <v>4.6740893609472893</v>
      </c>
      <c r="E367" s="158">
        <f t="shared" si="1190"/>
        <v>4.1855987760080389</v>
      </c>
      <c r="F367" s="158">
        <f t="shared" si="1190"/>
        <v>4.4005550775792424</v>
      </c>
      <c r="G367" s="158">
        <f t="shared" si="1190"/>
        <v>3.46752734565188</v>
      </c>
      <c r="H367" s="158">
        <f t="shared" ref="H367" si="1200">+H188/H9</f>
        <v>3.2889724332156947</v>
      </c>
      <c r="I367" s="158">
        <f t="shared" si="1198"/>
        <v>4.4570163974640398</v>
      </c>
      <c r="J367" s="180">
        <f t="shared" si="1192"/>
        <v>4.4979669602629073</v>
      </c>
      <c r="K367" s="180">
        <f t="shared" si="1192"/>
        <v>5.4643674173704646</v>
      </c>
      <c r="L367" s="127">
        <f t="shared" si="1193"/>
        <v>0.21485272471878525</v>
      </c>
      <c r="M367" s="2"/>
      <c r="N367" s="133" t="s">
        <v>0</v>
      </c>
      <c r="O367" s="158">
        <f t="shared" si="1194"/>
        <v>3.4153817225140508</v>
      </c>
      <c r="P367" s="158">
        <f t="shared" si="1194"/>
        <v>3.9646101810227545</v>
      </c>
      <c r="Q367" s="158">
        <f t="shared" si="1194"/>
        <v>4.4891456654644326</v>
      </c>
      <c r="R367" s="158">
        <f t="shared" si="1194"/>
        <v>3.8456914413284089</v>
      </c>
      <c r="S367" s="158">
        <f t="shared" si="1194"/>
        <v>4.0196518019471528</v>
      </c>
      <c r="T367" s="158">
        <f t="shared" si="1194"/>
        <v>3.5735729429862166</v>
      </c>
      <c r="U367" s="158">
        <f t="shared" ref="U367" si="1201">+U188/U9</f>
        <v>3.4607994987436177</v>
      </c>
      <c r="V367" s="158">
        <f t="shared" si="1199"/>
        <v>3.7892069517239042</v>
      </c>
      <c r="W367" s="180">
        <f t="shared" si="1199"/>
        <v>4.232301107673849</v>
      </c>
      <c r="X367" s="180">
        <f t="shared" si="1195"/>
        <v>4.3218227883262221</v>
      </c>
      <c r="Y367" s="147">
        <f t="shared" si="1196"/>
        <v>2.1152011252237202E-2</v>
      </c>
      <c r="Z367" s="127">
        <f t="shared" si="1197"/>
        <v>1.4601976809016426E-2</v>
      </c>
    </row>
    <row r="368" spans="1:26" x14ac:dyDescent="0.25">
      <c r="A368" s="133" t="s">
        <v>1</v>
      </c>
      <c r="B368" s="158">
        <f t="shared" si="1190"/>
        <v>4.7752046863377338</v>
      </c>
      <c r="C368" s="158">
        <f t="shared" si="1190"/>
        <v>4.599217044322562</v>
      </c>
      <c r="D368" s="158">
        <f t="shared" si="1190"/>
        <v>4.523450135516728</v>
      </c>
      <c r="E368" s="158">
        <f t="shared" si="1190"/>
        <v>4.438430859824356</v>
      </c>
      <c r="F368" s="158">
        <f t="shared" si="1190"/>
        <v>4.1146523994642807</v>
      </c>
      <c r="G368" s="158">
        <f t="shared" si="1190"/>
        <v>3.7411768357416593</v>
      </c>
      <c r="H368" s="158">
        <f t="shared" ref="H368" si="1202">+H189/H10</f>
        <v>2.6744685618023167</v>
      </c>
      <c r="I368" s="158">
        <f t="shared" si="1198"/>
        <v>4.7786474601019497</v>
      </c>
      <c r="J368" s="180">
        <f t="shared" si="1192"/>
        <v>4.6055072717560162</v>
      </c>
      <c r="K368" s="180">
        <f t="shared" si="1192"/>
        <v>3.5396717961970192</v>
      </c>
      <c r="L368" s="127">
        <f t="shared" si="1193"/>
        <v>-0.23142629305905071</v>
      </c>
      <c r="M368" s="2"/>
      <c r="N368" s="133" t="s">
        <v>1</v>
      </c>
      <c r="O368" s="158">
        <f t="shared" si="1194"/>
        <v>3.5704770306291804</v>
      </c>
      <c r="P368" s="158">
        <f t="shared" si="1194"/>
        <v>3.9333230578613936</v>
      </c>
      <c r="Q368" s="158">
        <f t="shared" si="1194"/>
        <v>4.483158786066368</v>
      </c>
      <c r="R368" s="158">
        <f t="shared" si="1194"/>
        <v>3.8454665117049482</v>
      </c>
      <c r="S368" s="158">
        <f t="shared" si="1194"/>
        <v>3.9936699482847433</v>
      </c>
      <c r="T368" s="158">
        <f t="shared" si="1194"/>
        <v>3.5395525864410167</v>
      </c>
      <c r="U368" s="158">
        <f t="shared" ref="U368" si="1203">+U189/U10</f>
        <v>3.3577599666626785</v>
      </c>
      <c r="V368" s="158">
        <f t="shared" si="1199"/>
        <v>4.0099179357187156</v>
      </c>
      <c r="W368" s="180">
        <f t="shared" ref="W368" si="1204">+W189/W10</f>
        <v>4.2198193360639644</v>
      </c>
      <c r="X368" s="180">
        <f t="shared" si="1195"/>
        <v>4.2419817217503688</v>
      </c>
      <c r="Y368" s="147">
        <f t="shared" si="1196"/>
        <v>5.2519750068438231E-3</v>
      </c>
      <c r="Z368" s="127">
        <f t="shared" si="1197"/>
        <v>1.2137053962763211E-2</v>
      </c>
    </row>
    <row r="369" spans="1:26" x14ac:dyDescent="0.25">
      <c r="A369" s="133" t="s">
        <v>2</v>
      </c>
      <c r="B369" s="158">
        <f t="shared" si="1190"/>
        <v>3.9707158888590564</v>
      </c>
      <c r="C369" s="158">
        <f t="shared" si="1190"/>
        <v>4.6748260540063402</v>
      </c>
      <c r="D369" s="158">
        <f t="shared" si="1190"/>
        <v>4.5983425798367161</v>
      </c>
      <c r="E369" s="158">
        <f t="shared" si="1190"/>
        <v>4.73121706440529</v>
      </c>
      <c r="F369" s="158">
        <f t="shared" si="1190"/>
        <v>3.6223107217350923</v>
      </c>
      <c r="G369" s="158">
        <f t="shared" si="1190"/>
        <v>3.5179684955969628</v>
      </c>
      <c r="H369" s="158">
        <f t="shared" ref="H369:I377" si="1205">+H190/H11</f>
        <v>3.5923472441772835</v>
      </c>
      <c r="I369" s="158">
        <f t="shared" si="1198"/>
        <v>4.3094878661110814</v>
      </c>
      <c r="J369" s="180">
        <f t="shared" si="1192"/>
        <v>4.5966748426471975</v>
      </c>
      <c r="K369" s="180">
        <f t="shared" si="1192"/>
        <v>3.1626272339761048</v>
      </c>
      <c r="L369" s="127">
        <f t="shared" si="1193"/>
        <v>-0.31197499448214905</v>
      </c>
      <c r="M369" s="2"/>
      <c r="N369" s="133" t="s">
        <v>2</v>
      </c>
      <c r="O369" s="158">
        <f t="shared" si="1194"/>
        <v>3.6281050494022908</v>
      </c>
      <c r="P369" s="158">
        <f t="shared" si="1194"/>
        <v>3.9791347752885522</v>
      </c>
      <c r="Q369" s="158">
        <f t="shared" si="1194"/>
        <v>4.4781258442516902</v>
      </c>
      <c r="R369" s="158">
        <f t="shared" si="1194"/>
        <v>3.8581445766849316</v>
      </c>
      <c r="S369" s="158">
        <f t="shared" si="1194"/>
        <v>3.8937995197943605</v>
      </c>
      <c r="T369" s="158">
        <f t="shared" si="1194"/>
        <v>3.5290704658355065</v>
      </c>
      <c r="U369" s="158">
        <f t="shared" ref="U369:W376" si="1206">+U190/U11</f>
        <v>3.369600111144964</v>
      </c>
      <c r="V369" s="158">
        <f t="shared" si="1199"/>
        <v>4.1014519321463787</v>
      </c>
      <c r="W369" s="180">
        <f t="shared" ref="W369" si="1207">+W190/W11</f>
        <v>4.2452654502485174</v>
      </c>
      <c r="X369" s="180">
        <f t="shared" si="1195"/>
        <v>4.1155928192259079</v>
      </c>
      <c r="Y369" s="147">
        <f t="shared" si="1196"/>
        <v>-3.0545235048851538E-2</v>
      </c>
      <c r="Z369" s="127">
        <f t="shared" si="1197"/>
        <v>1.1141097992740434E-2</v>
      </c>
    </row>
    <row r="370" spans="1:26" x14ac:dyDescent="0.25">
      <c r="A370" s="133" t="s">
        <v>3</v>
      </c>
      <c r="B370" s="158">
        <f t="shared" si="1190"/>
        <v>6.2391658852350211</v>
      </c>
      <c r="C370" s="158">
        <f t="shared" si="1190"/>
        <v>4.4608401527219241</v>
      </c>
      <c r="D370" s="158">
        <f t="shared" si="1190"/>
        <v>4.8881120302432883</v>
      </c>
      <c r="E370" s="158">
        <f t="shared" si="1190"/>
        <v>4.3921920761259114</v>
      </c>
      <c r="F370" s="158">
        <f t="shared" si="1190"/>
        <v>3.5751393909238582</v>
      </c>
      <c r="G370" s="158">
        <f t="shared" si="1190"/>
        <v>3.1293505696688109</v>
      </c>
      <c r="H370" s="158">
        <f t="shared" si="1205"/>
        <v>3.5222126959544364</v>
      </c>
      <c r="I370" s="158">
        <f t="shared" si="1198"/>
        <v>4.4443716141284515</v>
      </c>
      <c r="J370" s="180">
        <f t="shared" si="1192"/>
        <v>4.7525014252546862</v>
      </c>
      <c r="K370" s="180">
        <f t="shared" si="1192"/>
        <v>3.6598026540757407</v>
      </c>
      <c r="L370" s="127">
        <f t="shared" si="1193"/>
        <v>-0.22992076664561711</v>
      </c>
      <c r="M370" s="2"/>
      <c r="N370" s="133" t="s">
        <v>3</v>
      </c>
      <c r="O370" s="158">
        <f t="shared" si="1194"/>
        <v>3.6618049486786743</v>
      </c>
      <c r="P370" s="158">
        <f t="shared" si="1194"/>
        <v>3.8792127296395571</v>
      </c>
      <c r="Q370" s="158">
        <f t="shared" si="1194"/>
        <v>4.5088065893459026</v>
      </c>
      <c r="R370" s="158">
        <f t="shared" si="1194"/>
        <v>3.8261006550570227</v>
      </c>
      <c r="S370" s="158">
        <f t="shared" si="1194"/>
        <v>3.8464713838279376</v>
      </c>
      <c r="T370" s="158">
        <f t="shared" si="1194"/>
        <v>3.4833447962120534</v>
      </c>
      <c r="U370" s="158">
        <f t="shared" si="1206"/>
        <v>3.4051830753255019</v>
      </c>
      <c r="V370" s="158">
        <f t="shared" si="1199"/>
        <v>4.185361357251332</v>
      </c>
      <c r="W370" s="180">
        <f t="shared" si="1199"/>
        <v>4.2491693484870661</v>
      </c>
      <c r="X370" s="180">
        <f t="shared" si="1195"/>
        <v>4.0707509000712863</v>
      </c>
      <c r="Y370" s="147">
        <f t="shared" si="1196"/>
        <v>-4.1989018036973857E-2</v>
      </c>
      <c r="Z370" s="127">
        <f t="shared" si="1197"/>
        <v>1.13987309155823E-2</v>
      </c>
    </row>
    <row r="371" spans="1:26" x14ac:dyDescent="0.25">
      <c r="A371" s="133" t="s">
        <v>4</v>
      </c>
      <c r="B371" s="158">
        <f t="shared" si="1190"/>
        <v>4.5284750609568238</v>
      </c>
      <c r="C371" s="158">
        <f t="shared" si="1190"/>
        <v>4.6782894857136661</v>
      </c>
      <c r="D371" s="158">
        <f t="shared" si="1190"/>
        <v>4.7463334609175414</v>
      </c>
      <c r="E371" s="158">
        <f t="shared" si="1190"/>
        <v>4.4792718295078489</v>
      </c>
      <c r="F371" s="158">
        <f t="shared" si="1190"/>
        <v>3.099875387502542</v>
      </c>
      <c r="G371" s="158">
        <f t="shared" si="1190"/>
        <v>3.874824429160499</v>
      </c>
      <c r="H371" s="158">
        <f t="shared" si="1205"/>
        <v>4.2584631538689308</v>
      </c>
      <c r="I371" s="158">
        <f t="shared" si="1205"/>
        <v>4.8903807633559868</v>
      </c>
      <c r="J371" s="180">
        <f t="shared" si="1192"/>
        <v>4.3987918594035387</v>
      </c>
      <c r="K371" s="180"/>
      <c r="L371" s="127"/>
      <c r="M371" s="2"/>
      <c r="N371" s="133" t="s">
        <v>4</v>
      </c>
      <c r="O371" s="158">
        <f t="shared" ref="O371:S377" si="1208">+O192/O13</f>
        <v>3.6835650230357766</v>
      </c>
      <c r="P371" s="158">
        <f t="shared" si="1208"/>
        <v>3.8942317846005747</v>
      </c>
      <c r="Q371" s="158">
        <f t="shared" si="1208"/>
        <v>4.5146266066668428</v>
      </c>
      <c r="R371" s="158">
        <f t="shared" si="1208"/>
        <v>3.8082260329127484</v>
      </c>
      <c r="S371" s="158">
        <f t="shared" si="1208"/>
        <v>3.709777045052054</v>
      </c>
      <c r="T371" s="158">
        <v>3.709777045052054</v>
      </c>
      <c r="U371" s="158">
        <f t="shared" si="1206"/>
        <v>3.3999754914275044</v>
      </c>
      <c r="V371" s="158">
        <f t="shared" si="1206"/>
        <v>4.2213865027009199</v>
      </c>
      <c r="W371" s="180">
        <f t="shared" si="1199"/>
        <v>4.2280122436448586</v>
      </c>
      <c r="X371" s="180"/>
      <c r="Y371" s="147"/>
      <c r="Z371" s="127"/>
    </row>
    <row r="372" spans="1:26" x14ac:dyDescent="0.25">
      <c r="A372" s="133" t="s">
        <v>5</v>
      </c>
      <c r="B372" s="158">
        <f t="shared" si="1190"/>
        <v>2.6612122948318726</v>
      </c>
      <c r="C372" s="158">
        <f t="shared" si="1190"/>
        <v>4.2644165244047088</v>
      </c>
      <c r="D372" s="158">
        <f t="shared" si="1190"/>
        <v>4.7253807444345997</v>
      </c>
      <c r="E372" s="158">
        <f t="shared" si="1190"/>
        <v>4.653934211113083</v>
      </c>
      <c r="F372" s="158">
        <f t="shared" si="1190"/>
        <v>3.9760570075801152</v>
      </c>
      <c r="G372" s="158">
        <f t="shared" si="1190"/>
        <v>4.0290585043500258</v>
      </c>
      <c r="H372" s="158">
        <f t="shared" si="1205"/>
        <v>4.2428183244009094</v>
      </c>
      <c r="I372" s="158">
        <f t="shared" si="1205"/>
        <v>4.3356477293661504</v>
      </c>
      <c r="J372" s="180">
        <f t="shared" si="1192"/>
        <v>4.8765615528776554</v>
      </c>
      <c r="K372" s="180"/>
      <c r="L372" s="127"/>
      <c r="M372" s="2"/>
      <c r="N372" s="133" t="s">
        <v>5</v>
      </c>
      <c r="O372" s="158">
        <f t="shared" si="1208"/>
        <v>3.7145848542344337</v>
      </c>
      <c r="P372" s="158">
        <f t="shared" si="1208"/>
        <v>4.0378655543992021</v>
      </c>
      <c r="Q372" s="158">
        <f t="shared" si="1208"/>
        <v>4.554835569078624</v>
      </c>
      <c r="R372" s="158">
        <f t="shared" si="1208"/>
        <v>3.7989029087094006</v>
      </c>
      <c r="S372" s="158">
        <f t="shared" si="1208"/>
        <v>3.6754766132413699</v>
      </c>
      <c r="T372" s="158">
        <v>3.6754766132413699</v>
      </c>
      <c r="U372" s="158">
        <f t="shared" si="1206"/>
        <v>3.4381435588566833</v>
      </c>
      <c r="V372" s="158">
        <f t="shared" si="1206"/>
        <v>4.226303626143622</v>
      </c>
      <c r="W372" s="180">
        <f t="shared" si="1206"/>
        <v>4.2760968036912494</v>
      </c>
      <c r="X372" s="180"/>
      <c r="Y372" s="147"/>
      <c r="Z372" s="127"/>
    </row>
    <row r="373" spans="1:26" x14ac:dyDescent="0.25">
      <c r="A373" s="133" t="s">
        <v>6</v>
      </c>
      <c r="B373" s="158">
        <f t="shared" si="1190"/>
        <v>4.2378477821903919</v>
      </c>
      <c r="C373" s="158">
        <f t="shared" si="1190"/>
        <v>4.3188904861996651</v>
      </c>
      <c r="D373" s="158">
        <f t="shared" si="1190"/>
        <v>4.4922079804196393</v>
      </c>
      <c r="E373" s="158">
        <f t="shared" si="1190"/>
        <v>4.2177652787904272</v>
      </c>
      <c r="F373" s="158">
        <f t="shared" si="1190"/>
        <v>4.093466097106071</v>
      </c>
      <c r="G373" s="158">
        <f t="shared" si="1190"/>
        <v>3.9243272147878745</v>
      </c>
      <c r="H373" s="158">
        <f t="shared" si="1205"/>
        <v>4.0150480984067949</v>
      </c>
      <c r="I373" s="158">
        <f>+I194/I15</f>
        <v>4.5251333508182938</v>
      </c>
      <c r="J373" s="180">
        <f t="shared" si="1192"/>
        <v>4.0634664750873934</v>
      </c>
      <c r="K373" s="180"/>
      <c r="L373" s="127"/>
      <c r="M373" s="2"/>
      <c r="N373" s="133" t="s">
        <v>6</v>
      </c>
      <c r="O373" s="158">
        <f t="shared" si="1208"/>
        <v>3.7236857912142427</v>
      </c>
      <c r="P373" s="158">
        <f t="shared" si="1208"/>
        <v>4.0391911230159065</v>
      </c>
      <c r="Q373" s="158">
        <f t="shared" si="1208"/>
        <v>4.5695427974938712</v>
      </c>
      <c r="R373" s="158">
        <f t="shared" si="1208"/>
        <v>3.7773918487118161</v>
      </c>
      <c r="S373" s="158">
        <f t="shared" si="1208"/>
        <v>3.6618665859314912</v>
      </c>
      <c r="T373" s="158">
        <v>3.6618665859314912</v>
      </c>
      <c r="U373" s="158">
        <f t="shared" si="1206"/>
        <v>3.4377450002758718</v>
      </c>
      <c r="V373" s="158">
        <f t="shared" si="1206"/>
        <v>4.2809361311632967</v>
      </c>
      <c r="W373" s="180">
        <f t="shared" si="1206"/>
        <v>4.2345623406003483</v>
      </c>
      <c r="X373" s="180"/>
      <c r="Y373" s="147"/>
      <c r="Z373" s="127"/>
    </row>
    <row r="374" spans="1:26" x14ac:dyDescent="0.25">
      <c r="A374" s="133" t="s">
        <v>7</v>
      </c>
      <c r="B374" s="158">
        <f t="shared" si="1190"/>
        <v>3.6556906686660895</v>
      </c>
      <c r="C374" s="158">
        <f t="shared" si="1190"/>
        <v>4.2720742104004623</v>
      </c>
      <c r="D374" s="158">
        <f t="shared" si="1190"/>
        <v>3.924154839525853</v>
      </c>
      <c r="E374" s="158">
        <f t="shared" si="1190"/>
        <v>3.9284288836174954</v>
      </c>
      <c r="F374" s="158">
        <f t="shared" si="1190"/>
        <v>2.7313110052477509</v>
      </c>
      <c r="G374" s="158">
        <f t="shared" si="1190"/>
        <v>3.6197299638220555</v>
      </c>
      <c r="H374" s="158">
        <f t="shared" si="1205"/>
        <v>4.0192715561257888</v>
      </c>
      <c r="I374" s="158">
        <f t="shared" si="1205"/>
        <v>3.4805560779227904</v>
      </c>
      <c r="J374" s="180">
        <f t="shared" si="1192"/>
        <v>4.6567719811124322</v>
      </c>
      <c r="K374" s="180"/>
      <c r="L374" s="127"/>
      <c r="M374" s="2"/>
      <c r="N374" s="133" t="s">
        <v>7</v>
      </c>
      <c r="O374" s="158">
        <f t="shared" si="1208"/>
        <v>3.757608195743336</v>
      </c>
      <c r="P374" s="158">
        <f t="shared" si="1208"/>
        <v>4.1005863874976285</v>
      </c>
      <c r="Q374" s="158">
        <f t="shared" si="1208"/>
        <v>4.5396771709702977</v>
      </c>
      <c r="R374" s="158">
        <f t="shared" si="1208"/>
        <v>3.7750025124631281</v>
      </c>
      <c r="S374" s="158">
        <f t="shared" si="1208"/>
        <v>3.5562812070150098</v>
      </c>
      <c r="T374" s="158">
        <f>+T195/T16</f>
        <v>3.6317725754487586</v>
      </c>
      <c r="U374" s="158">
        <f t="shared" si="1206"/>
        <v>3.4658429771479273</v>
      </c>
      <c r="V374" s="158">
        <f t="shared" ref="V374:W374" si="1209">+V195/V16</f>
        <v>4.2193597378764327</v>
      </c>
      <c r="W374" s="180">
        <f t="shared" si="1209"/>
        <v>4.3551397844935016</v>
      </c>
      <c r="X374" s="180"/>
      <c r="Y374" s="147"/>
      <c r="Z374" s="127"/>
    </row>
    <row r="375" spans="1:26" x14ac:dyDescent="0.25">
      <c r="A375" s="133" t="s">
        <v>8</v>
      </c>
      <c r="B375" s="158">
        <f t="shared" ref="B375:G377" si="1210">+B196/B17</f>
        <v>3.8934779826701509</v>
      </c>
      <c r="C375" s="158">
        <f t="shared" si="1210"/>
        <v>4.4899681162292513</v>
      </c>
      <c r="D375" s="158">
        <f t="shared" si="1210"/>
        <v>3.6751214565848072</v>
      </c>
      <c r="E375" s="158">
        <f t="shared" si="1210"/>
        <v>3.074658588273516</v>
      </c>
      <c r="F375" s="158">
        <f t="shared" si="1210"/>
        <v>2.9550215551603509</v>
      </c>
      <c r="G375" s="158">
        <f t="shared" si="1210"/>
        <v>3.2072194617348515</v>
      </c>
      <c r="H375" s="158">
        <f t="shared" si="1205"/>
        <v>3.5536971135525732</v>
      </c>
      <c r="I375" s="158">
        <f t="shared" si="1205"/>
        <v>3.8028635243365541</v>
      </c>
      <c r="J375" s="180">
        <f t="shared" si="1192"/>
        <v>3.5620153762397453</v>
      </c>
      <c r="K375" s="180"/>
      <c r="L375" s="127"/>
      <c r="M375" s="2"/>
      <c r="N375" s="133" t="s">
        <v>8</v>
      </c>
      <c r="O375" s="158">
        <f t="shared" si="1208"/>
        <v>3.82267187693044</v>
      </c>
      <c r="P375" s="158">
        <f t="shared" si="1208"/>
        <v>4.1480152246279474</v>
      </c>
      <c r="Q375" s="158">
        <f t="shared" si="1208"/>
        <v>4.4398853232487578</v>
      </c>
      <c r="R375" s="158">
        <f t="shared" si="1208"/>
        <v>3.7163950151076239</v>
      </c>
      <c r="S375" s="158">
        <f t="shared" si="1208"/>
        <v>3.5439668611806217</v>
      </c>
      <c r="T375" s="158">
        <f t="shared" ref="T375" si="1211">+T196/T17</f>
        <v>3.6604257605207393</v>
      </c>
      <c r="U375" s="158">
        <f t="shared" si="1206"/>
        <v>3.4934963365145792</v>
      </c>
      <c r="V375" s="158">
        <f t="shared" ref="V375:W375" si="1212">+V196/V17</f>
        <v>4.2405359449094773</v>
      </c>
      <c r="W375" s="180">
        <f t="shared" si="121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210"/>
        <v>3.1841859450055603</v>
      </c>
      <c r="C376" s="158">
        <f t="shared" si="1210"/>
        <v>4.8021433297285645</v>
      </c>
      <c r="D376" s="158">
        <f t="shared" si="1210"/>
        <v>3.0666704452318951</v>
      </c>
      <c r="E376" s="158">
        <f t="shared" si="1210"/>
        <v>2.8939530368481861</v>
      </c>
      <c r="F376" s="158">
        <f t="shared" si="1210"/>
        <v>4.4841097415604123</v>
      </c>
      <c r="G376" s="158">
        <f t="shared" si="1210"/>
        <v>3.1245777823557503</v>
      </c>
      <c r="H376" s="158">
        <f t="shared" si="1205"/>
        <v>4.0307285672753164</v>
      </c>
      <c r="I376" s="158">
        <f t="shared" si="1205"/>
        <v>4.0087901369667485</v>
      </c>
      <c r="J376" s="180">
        <f t="shared" si="1192"/>
        <v>3.9995440579653736</v>
      </c>
      <c r="K376" s="180"/>
      <c r="L376" s="127"/>
      <c r="M376" s="2"/>
      <c r="N376" s="133" t="s">
        <v>9</v>
      </c>
      <c r="O376" s="158">
        <f t="shared" si="1208"/>
        <v>3.8521993784916622</v>
      </c>
      <c r="P376" s="158">
        <f t="shared" si="1208"/>
        <v>4.3215408310977717</v>
      </c>
      <c r="Q376" s="158">
        <f t="shared" si="1208"/>
        <v>4.2497194602432717</v>
      </c>
      <c r="R376" s="158">
        <f t="shared" si="1208"/>
        <v>3.680311612479954</v>
      </c>
      <c r="S376" s="158">
        <f t="shared" si="1208"/>
        <v>3.69571808923184</v>
      </c>
      <c r="T376" s="158">
        <f t="shared" ref="T376" si="1213">+T197/T18</f>
        <v>3.564884770194372</v>
      </c>
      <c r="U376" s="158">
        <f t="shared" si="1206"/>
        <v>3.5569644991703839</v>
      </c>
      <c r="V376" s="158">
        <f t="shared" ref="V376:W376" si="1214">+V197/V18</f>
        <v>4.2405884247073145</v>
      </c>
      <c r="W376" s="180">
        <f t="shared" si="121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210"/>
        <v>3.9545558762500326</v>
      </c>
      <c r="C377" s="182">
        <f t="shared" si="1210"/>
        <v>4.3215408310977717</v>
      </c>
      <c r="D377" s="182">
        <f t="shared" si="1210"/>
        <v>4.2497194602432717</v>
      </c>
      <c r="E377" s="182">
        <f t="shared" si="1210"/>
        <v>3.680311612479954</v>
      </c>
      <c r="F377" s="182">
        <f t="shared" si="1210"/>
        <v>3.69571808923184</v>
      </c>
      <c r="G377" s="182">
        <f t="shared" ref="G377:H377" si="1215">+G198/G19</f>
        <v>3.564884770194372</v>
      </c>
      <c r="H377" s="182">
        <f t="shared" si="1215"/>
        <v>3.5569644991703839</v>
      </c>
      <c r="I377" s="182">
        <f t="shared" si="1205"/>
        <v>4.2405884247073145</v>
      </c>
      <c r="J377" s="183">
        <f t="shared" ref="J377" si="1216">+J198/J19</f>
        <v>4.314265407826066</v>
      </c>
      <c r="K377" s="183"/>
      <c r="L377" s="137"/>
      <c r="M377" s="3"/>
      <c r="N377" s="134" t="s">
        <v>14</v>
      </c>
      <c r="O377" s="182">
        <f t="shared" si="1208"/>
        <v>3.579810314867895</v>
      </c>
      <c r="P377" s="182">
        <f t="shared" si="1208"/>
        <v>4.0276938642395681</v>
      </c>
      <c r="Q377" s="182">
        <f t="shared" si="1208"/>
        <v>4.4753038444400008</v>
      </c>
      <c r="R377" s="182">
        <f t="shared" si="1208"/>
        <v>3.8189867440294023</v>
      </c>
      <c r="S377" s="182">
        <f t="shared" si="1208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4.2117257041644844</v>
      </c>
      <c r="Y377" s="149">
        <f>+X377/W377-1</f>
        <v>-1.1425836506876452E-2</v>
      </c>
      <c r="Z377" s="156">
        <f>+POWER(X377/S377,0.2)-1</f>
        <v>2.1691817221746845E-2</v>
      </c>
    </row>
    <row r="378" spans="1:26" ht="25.5" x14ac:dyDescent="0.25">
      <c r="A378" s="135" t="s">
        <v>15</v>
      </c>
      <c r="B378" s="138">
        <f t="shared" ref="B378:G378" si="1217">+B377/B$539</f>
        <v>1.2551636295984576</v>
      </c>
      <c r="C378" s="138">
        <f t="shared" si="1217"/>
        <v>1.2034875740659818</v>
      </c>
      <c r="D378" s="138">
        <f t="shared" si="1217"/>
        <v>1.4143647783221713</v>
      </c>
      <c r="E378" s="138">
        <f t="shared" si="1217"/>
        <v>1.4093590577891559</v>
      </c>
      <c r="F378" s="138">
        <f t="shared" si="1217"/>
        <v>1.8515064644298247</v>
      </c>
      <c r="G378" s="138">
        <f t="shared" si="1217"/>
        <v>1.2462925966839029</v>
      </c>
      <c r="H378" s="138">
        <f t="shared" ref="H378:I378" si="1218">+H377/H$539</f>
        <v>1.1146354650274808</v>
      </c>
      <c r="I378" s="138">
        <f t="shared" si="1218"/>
        <v>1.2026549268646181</v>
      </c>
      <c r="J378" s="139">
        <f t="shared" ref="J378" si="1219">+J377/J$539</f>
        <v>1.2370397071375547</v>
      </c>
      <c r="K378" s="139"/>
      <c r="L378" s="140"/>
      <c r="M378" s="3"/>
      <c r="N378" s="135" t="s">
        <v>15</v>
      </c>
      <c r="O378" s="138">
        <f t="shared" ref="O378:T378" si="1220">+O377/O$539</f>
        <v>1.1516223167474178</v>
      </c>
      <c r="P378" s="138">
        <f t="shared" si="1220"/>
        <v>1.1953271169023594</v>
      </c>
      <c r="Q378" s="138">
        <f t="shared" si="1220"/>
        <v>1.3018457385112687</v>
      </c>
      <c r="R378" s="138">
        <f t="shared" si="1220"/>
        <v>1.3848850890855138</v>
      </c>
      <c r="S378" s="138">
        <f t="shared" si="1220"/>
        <v>1.7925950548646026</v>
      </c>
      <c r="T378" s="138">
        <f t="shared" si="1220"/>
        <v>1.4473849453059908</v>
      </c>
      <c r="U378" s="138">
        <f t="shared" ref="U378:V378" si="1221">+U377/U$539</f>
        <v>1.1392295931021479</v>
      </c>
      <c r="V378" s="138">
        <f t="shared" si="1221"/>
        <v>1.1894331807072527</v>
      </c>
      <c r="W378" s="139">
        <f t="shared" ref="W378" si="1222">+W377/W$539</f>
        <v>1.2146831800146243</v>
      </c>
      <c r="X378" s="139">
        <f t="shared" ref="X378" si="1223">+X377/X$539</f>
        <v>1.2064382821014796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224">+D377/C377-1</f>
        <v>-1.661938962549514E-2</v>
      </c>
      <c r="E379" s="142">
        <f t="shared" si="1224"/>
        <v>-0.13398716152682755</v>
      </c>
      <c r="F379" s="142">
        <f t="shared" si="1224"/>
        <v>4.1861881204956486E-3</v>
      </c>
      <c r="G379" s="142">
        <f t="shared" si="1224"/>
        <v>-3.5401325501172587E-2</v>
      </c>
      <c r="H379" s="142">
        <f t="shared" si="1224"/>
        <v>-2.2217467140056568E-3</v>
      </c>
      <c r="I379" s="142">
        <f t="shared" si="1224"/>
        <v>0.19219306959526228</v>
      </c>
      <c r="J379" s="143">
        <f t="shared" si="122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225">+Q377/P377-1</f>
        <v>0.11113306901862607</v>
      </c>
      <c r="R379" s="142">
        <f t="shared" si="1225"/>
        <v>-0.1466530817177899</v>
      </c>
      <c r="S379" s="142">
        <f t="shared" si="1225"/>
        <v>-9.3679998019716715E-3</v>
      </c>
      <c r="T379" s="142">
        <f t="shared" si="1225"/>
        <v>-5.4032341327462707E-2</v>
      </c>
      <c r="U379" s="142">
        <f t="shared" si="1225"/>
        <v>-3.7262759565954928E-2</v>
      </c>
      <c r="V379" s="142">
        <f t="shared" si="1225"/>
        <v>0.17192891866309656</v>
      </c>
      <c r="W379" s="143">
        <f t="shared" si="1225"/>
        <v>5.5127611908149188E-2</v>
      </c>
      <c r="X379" s="143">
        <f t="shared" si="1225"/>
        <v>-1.1425836506876452E-2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73" t="s">
        <v>139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140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226">+C382+1</f>
        <v>2018</v>
      </c>
      <c r="E382" s="129">
        <f t="shared" ref="E382" si="1227">+D382+1</f>
        <v>2019</v>
      </c>
      <c r="F382" s="129">
        <f t="shared" ref="F382" si="1228">+E382+1</f>
        <v>2020</v>
      </c>
      <c r="G382" s="129">
        <f t="shared" ref="G382" si="1229">+F382+1</f>
        <v>2021</v>
      </c>
      <c r="H382" s="129">
        <f t="shared" ref="H382" si="1230">+G382+1</f>
        <v>2022</v>
      </c>
      <c r="I382" s="129">
        <f t="shared" ref="I382" si="1231">+H382+1</f>
        <v>2023</v>
      </c>
      <c r="J382" s="130">
        <f t="shared" ref="J382:K382" si="1232">+I382+1</f>
        <v>2024</v>
      </c>
      <c r="K382" s="130">
        <f t="shared" si="123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233">+P382+1</f>
        <v>2018</v>
      </c>
      <c r="R382" s="129">
        <f t="shared" si="1233"/>
        <v>2019</v>
      </c>
      <c r="S382" s="129">
        <f t="shared" si="1233"/>
        <v>2020</v>
      </c>
      <c r="T382" s="129">
        <f t="shared" si="123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234">+B204/B25</f>
        <v>2.4273718232305583</v>
      </c>
      <c r="C383" s="158">
        <f t="shared" si="1234"/>
        <v>2.475322789376027</v>
      </c>
      <c r="D383" s="158">
        <f t="shared" si="1234"/>
        <v>3.2566295190011321</v>
      </c>
      <c r="E383" s="158">
        <f t="shared" si="1234"/>
        <v>2.8452222609397468</v>
      </c>
      <c r="F383" s="158">
        <f t="shared" si="1234"/>
        <v>2.5145452444286271</v>
      </c>
      <c r="G383" s="158">
        <f t="shared" si="1234"/>
        <v>1.9465321095097075</v>
      </c>
      <c r="H383" s="158">
        <f t="shared" ref="H383:J383" si="1235">+H204/H25</f>
        <v>2.3788349297526885</v>
      </c>
      <c r="I383" s="158">
        <f t="shared" si="1235"/>
        <v>2.3898439309094583</v>
      </c>
      <c r="J383" s="180">
        <f t="shared" si="1235"/>
        <v>1.7241797518744961</v>
      </c>
      <c r="K383" s="180">
        <f t="shared" ref="K383:K388" si="1236">+K204/K25</f>
        <v>2.0374239175251412</v>
      </c>
      <c r="L383" s="127">
        <f t="shared" ref="L383:L388" si="1237">+K383/J383-1</f>
        <v>0.18167720929914166</v>
      </c>
      <c r="M383" s="2"/>
      <c r="N383" s="133" t="s">
        <v>10</v>
      </c>
      <c r="O383" s="158">
        <f t="shared" ref="O383:U394" si="1238">+O204/O25</f>
        <v>2.8642746553877707</v>
      </c>
      <c r="P383" s="158">
        <f t="shared" si="1238"/>
        <v>2.854637382329535</v>
      </c>
      <c r="Q383" s="158">
        <f t="shared" si="1238"/>
        <v>3.0167752384564528</v>
      </c>
      <c r="R383" s="158">
        <f t="shared" si="1238"/>
        <v>2.9900026784306895</v>
      </c>
      <c r="S383" s="158">
        <f t="shared" si="1238"/>
        <v>2.6736891937672049</v>
      </c>
      <c r="T383" s="158">
        <f t="shared" si="1238"/>
        <v>2.180528351597995</v>
      </c>
      <c r="U383" s="158">
        <f t="shared" si="1238"/>
        <v>2.1747048503142623</v>
      </c>
      <c r="V383" s="158">
        <f t="shared" ref="V383:X388" si="1239">+V204/V25</f>
        <v>2.1334543214523243</v>
      </c>
      <c r="W383" s="180">
        <f t="shared" si="1239"/>
        <v>2.1024250191157696</v>
      </c>
      <c r="X383" s="180">
        <f t="shared" si="1239"/>
        <v>2.0771459225363298</v>
      </c>
      <c r="Y383" s="147">
        <f t="shared" ref="Y383:Y388" si="1240">+X383/W383-1</f>
        <v>-1.2023780324908584E-2</v>
      </c>
      <c r="Z383" s="127">
        <f t="shared" ref="Z383:Z388" si="1241">+POWER(X383/S383,0.2)-1</f>
        <v>-4.9239309618477112E-2</v>
      </c>
    </row>
    <row r="384" spans="1:26" x14ac:dyDescent="0.25">
      <c r="A384" s="133" t="s">
        <v>11</v>
      </c>
      <c r="B384" s="158">
        <f t="shared" si="1234"/>
        <v>2.8429983456956478</v>
      </c>
      <c r="C384" s="158">
        <f t="shared" si="1234"/>
        <v>2.8152106941096582</v>
      </c>
      <c r="D384" s="158">
        <f t="shared" si="1234"/>
        <v>2.9553330468679961</v>
      </c>
      <c r="E384" s="158">
        <f t="shared" si="1234"/>
        <v>2.9140969078566576</v>
      </c>
      <c r="F384" s="158">
        <f t="shared" si="1234"/>
        <v>2.5095998299394084</v>
      </c>
      <c r="G384" s="158">
        <f t="shared" si="1234"/>
        <v>2.1013890279416181</v>
      </c>
      <c r="H384" s="158">
        <f t="shared" ref="H384:J384" si="1242">+H205/H26</f>
        <v>2.221615764558706</v>
      </c>
      <c r="I384" s="158">
        <f t="shared" si="1242"/>
        <v>2.0296097796467802</v>
      </c>
      <c r="J384" s="180">
        <f t="shared" si="1242"/>
        <v>2.0264967293566656</v>
      </c>
      <c r="K384" s="180">
        <f t="shared" si="1236"/>
        <v>2.0475587329133118</v>
      </c>
      <c r="L384" s="127">
        <f t="shared" si="1237"/>
        <v>1.0393307450998313E-2</v>
      </c>
      <c r="M384" s="2"/>
      <c r="N384" s="133" t="s">
        <v>11</v>
      </c>
      <c r="O384" s="158">
        <f t="shared" si="1238"/>
        <v>2.8523930301064442</v>
      </c>
      <c r="P384" s="158">
        <f t="shared" si="1238"/>
        <v>2.852625391651824</v>
      </c>
      <c r="Q384" s="158">
        <f t="shared" si="1238"/>
        <v>3.0271066473981447</v>
      </c>
      <c r="R384" s="158">
        <f t="shared" si="1238"/>
        <v>2.985730710859321</v>
      </c>
      <c r="S384" s="158">
        <f t="shared" si="1238"/>
        <v>2.6436535118753879</v>
      </c>
      <c r="T384" s="158">
        <f t="shared" si="1238"/>
        <v>2.1555100530945412</v>
      </c>
      <c r="U384" s="158">
        <f t="shared" si="1238"/>
        <v>2.184455676671067</v>
      </c>
      <c r="V384" s="158">
        <f t="shared" ref="V384:W394" si="1243">+V205/V26</f>
        <v>2.1171238369681662</v>
      </c>
      <c r="W384" s="180">
        <f t="shared" si="1243"/>
        <v>2.1011857333965547</v>
      </c>
      <c r="X384" s="180">
        <f t="shared" si="1239"/>
        <v>2.0791140008229454</v>
      </c>
      <c r="Y384" s="147">
        <f t="shared" si="1240"/>
        <v>-1.0504417683214751E-2</v>
      </c>
      <c r="Z384" s="127">
        <f t="shared" si="1241"/>
        <v>-4.6908154582023576E-2</v>
      </c>
    </row>
    <row r="385" spans="1:26" x14ac:dyDescent="0.25">
      <c r="A385" s="133" t="s">
        <v>0</v>
      </c>
      <c r="B385" s="158">
        <f t="shared" si="1234"/>
        <v>3.0618009134327919</v>
      </c>
      <c r="C385" s="158">
        <f t="shared" si="1234"/>
        <v>2.9125859981990554</v>
      </c>
      <c r="D385" s="158">
        <f t="shared" si="1234"/>
        <v>2.9429169505974713</v>
      </c>
      <c r="E385" s="158">
        <f t="shared" si="1234"/>
        <v>2.9817411884890239</v>
      </c>
      <c r="F385" s="158">
        <f t="shared" si="1234"/>
        <v>2.2719874881816389</v>
      </c>
      <c r="G385" s="158">
        <f t="shared" si="1234"/>
        <v>2.2273367146793404</v>
      </c>
      <c r="H385" s="158">
        <f t="shared" ref="H385:J385" si="1244">+H206/H27</f>
        <v>1.9562567185332429</v>
      </c>
      <c r="I385" s="158">
        <f t="shared" si="1244"/>
        <v>2.0260613703236654</v>
      </c>
      <c r="J385" s="180">
        <f t="shared" si="1244"/>
        <v>2.1653001429602412</v>
      </c>
      <c r="K385" s="180">
        <f t="shared" si="1236"/>
        <v>1.6868363715547026</v>
      </c>
      <c r="L385" s="127">
        <f t="shared" si="1237"/>
        <v>-0.22096879869569386</v>
      </c>
      <c r="M385" s="2"/>
      <c r="N385" s="133" t="s">
        <v>0</v>
      </c>
      <c r="O385" s="158">
        <f t="shared" si="1238"/>
        <v>2.8635938614643957</v>
      </c>
      <c r="P385" s="158">
        <f t="shared" si="1238"/>
        <v>2.8403198176257543</v>
      </c>
      <c r="Q385" s="158">
        <f t="shared" si="1238"/>
        <v>3.0280229571622215</v>
      </c>
      <c r="R385" s="158">
        <f t="shared" si="1238"/>
        <v>2.9889337738064787</v>
      </c>
      <c r="S385" s="158">
        <f t="shared" si="1238"/>
        <v>2.5813607652447521</v>
      </c>
      <c r="T385" s="158">
        <f t="shared" si="1238"/>
        <v>2.1534939613261348</v>
      </c>
      <c r="U385" s="158">
        <f t="shared" si="1238"/>
        <v>2.1580469862387295</v>
      </c>
      <c r="V385" s="158">
        <f t="shared" si="1243"/>
        <v>2.1275024324340568</v>
      </c>
      <c r="W385" s="180">
        <f t="shared" si="1243"/>
        <v>2.1146181572812206</v>
      </c>
      <c r="X385" s="180">
        <f t="shared" si="1239"/>
        <v>2.0409631642233474</v>
      </c>
      <c r="Y385" s="147">
        <f t="shared" si="1240"/>
        <v>-3.4831344280412235E-2</v>
      </c>
      <c r="Z385" s="127">
        <f t="shared" si="1241"/>
        <v>-4.5892538222102819E-2</v>
      </c>
    </row>
    <row r="386" spans="1:26" x14ac:dyDescent="0.25">
      <c r="A386" s="133" t="s">
        <v>1</v>
      </c>
      <c r="B386" s="158">
        <f t="shared" si="1234"/>
        <v>3.2427448958538192</v>
      </c>
      <c r="C386" s="158">
        <f t="shared" si="1234"/>
        <v>2.9337453032284597</v>
      </c>
      <c r="D386" s="158">
        <f t="shared" si="1234"/>
        <v>2.9584765340665378</v>
      </c>
      <c r="E386" s="158">
        <f t="shared" si="1234"/>
        <v>2.9189182427699385</v>
      </c>
      <c r="F386" s="158">
        <f t="shared" si="1234"/>
        <v>2.436122666570073</v>
      </c>
      <c r="G386" s="158">
        <f t="shared" si="1234"/>
        <v>2.1584378364062426</v>
      </c>
      <c r="H386" s="158">
        <f t="shared" ref="H386:J386" si="1245">+H207/H28</f>
        <v>2.4930456988359988</v>
      </c>
      <c r="I386" s="158">
        <f t="shared" si="1245"/>
        <v>2.0263033063159561</v>
      </c>
      <c r="J386" s="180">
        <f t="shared" si="1245"/>
        <v>1.9349317472190526</v>
      </c>
      <c r="K386" s="180">
        <f t="shared" si="1236"/>
        <v>2.3677309933964366</v>
      </c>
      <c r="L386" s="127">
        <f t="shared" si="1237"/>
        <v>0.2236767507688151</v>
      </c>
      <c r="M386" s="2"/>
      <c r="N386" s="133" t="s">
        <v>1</v>
      </c>
      <c r="O386" s="158">
        <f t="shared" si="1238"/>
        <v>2.8851010490847973</v>
      </c>
      <c r="P386" s="158">
        <f t="shared" si="1238"/>
        <v>2.8233348160975691</v>
      </c>
      <c r="Q386" s="158">
        <f t="shared" si="1238"/>
        <v>3.0298150079012034</v>
      </c>
      <c r="R386" s="158">
        <f t="shared" si="1238"/>
        <v>2.9855582588437528</v>
      </c>
      <c r="S386" s="158">
        <f t="shared" si="1238"/>
        <v>2.5456601183457703</v>
      </c>
      <c r="T386" s="158">
        <f t="shared" si="1238"/>
        <v>2.1382056682496913</v>
      </c>
      <c r="U386" s="158">
        <f t="shared" si="1238"/>
        <v>2.1771522277640396</v>
      </c>
      <c r="V386" s="158">
        <f t="shared" si="1243"/>
        <v>2.0942274116421533</v>
      </c>
      <c r="W386" s="180">
        <f t="shared" ref="W386" si="1246">+W207/W28</f>
        <v>2.1079081527460906</v>
      </c>
      <c r="X386" s="180">
        <f t="shared" si="1239"/>
        <v>2.0713090883889573</v>
      </c>
      <c r="Y386" s="147">
        <f t="shared" si="1240"/>
        <v>-1.7362741497751522E-2</v>
      </c>
      <c r="Z386" s="127">
        <f t="shared" si="1241"/>
        <v>-4.0402962774127249E-2</v>
      </c>
    </row>
    <row r="387" spans="1:26" x14ac:dyDescent="0.25">
      <c r="A387" s="133" t="s">
        <v>2</v>
      </c>
      <c r="B387" s="158">
        <f t="shared" si="1234"/>
        <v>2.8928621074545693</v>
      </c>
      <c r="C387" s="158">
        <f t="shared" si="1234"/>
        <v>2.9447256387810516</v>
      </c>
      <c r="D387" s="158">
        <f t="shared" si="1234"/>
        <v>3.0933488780570118</v>
      </c>
      <c r="E387" s="158">
        <f t="shared" si="1234"/>
        <v>2.7753559819386218</v>
      </c>
      <c r="F387" s="158">
        <f t="shared" si="1234"/>
        <v>2.3117473100269836</v>
      </c>
      <c r="G387" s="158">
        <f t="shared" si="1234"/>
        <v>1.7792368027750929</v>
      </c>
      <c r="H387" s="158">
        <f t="shared" ref="H387:J394" si="1247">+H208/H29</f>
        <v>2.2980115376325823</v>
      </c>
      <c r="I387" s="158">
        <f t="shared" si="1247"/>
        <v>1.9447340165498828</v>
      </c>
      <c r="J387" s="180">
        <f t="shared" si="1247"/>
        <v>2.0263844707553611</v>
      </c>
      <c r="K387" s="180">
        <f t="shared" si="1236"/>
        <v>2.1624463712311615</v>
      </c>
      <c r="L387" s="127">
        <f t="shared" si="1237"/>
        <v>6.7145155541525448E-2</v>
      </c>
      <c r="M387" s="2"/>
      <c r="N387" s="133" t="s">
        <v>2</v>
      </c>
      <c r="O387" s="158">
        <f t="shared" si="1238"/>
        <v>2.8822091210249217</v>
      </c>
      <c r="P387" s="158">
        <f t="shared" si="1238"/>
        <v>2.8283056849968125</v>
      </c>
      <c r="Q387" s="158">
        <f t="shared" si="1238"/>
        <v>3.0416606983313197</v>
      </c>
      <c r="R387" s="158">
        <f t="shared" si="1238"/>
        <v>2.9578596746186956</v>
      </c>
      <c r="S387" s="158">
        <f t="shared" si="1238"/>
        <v>2.4993579737894862</v>
      </c>
      <c r="T387" s="158">
        <f t="shared" si="1238"/>
        <v>2.0860323884674421</v>
      </c>
      <c r="U387" s="158">
        <f t="shared" si="1238"/>
        <v>2.2317461958977058</v>
      </c>
      <c r="V387" s="158">
        <f t="shared" si="1243"/>
        <v>2.0641980756468232</v>
      </c>
      <c r="W387" s="180">
        <f t="shared" ref="W387:W391" si="1248">+W208/W29</f>
        <v>2.1168101081070643</v>
      </c>
      <c r="X387" s="180">
        <f t="shared" si="1239"/>
        <v>2.0821427743867846</v>
      </c>
      <c r="Y387" s="147">
        <f t="shared" si="1240"/>
        <v>-1.6377158058490493E-2</v>
      </c>
      <c r="Z387" s="127">
        <f t="shared" si="1241"/>
        <v>-3.5868197367038168E-2</v>
      </c>
    </row>
    <row r="388" spans="1:26" x14ac:dyDescent="0.25">
      <c r="A388" s="133" t="s">
        <v>3</v>
      </c>
      <c r="B388" s="158">
        <f t="shared" si="1234"/>
        <v>2.8261545547427165</v>
      </c>
      <c r="C388" s="158">
        <f t="shared" si="1234"/>
        <v>2.8463840492154917</v>
      </c>
      <c r="D388" s="158">
        <f t="shared" si="1234"/>
        <v>2.8556619894542257</v>
      </c>
      <c r="E388" s="158">
        <f t="shared" si="1234"/>
        <v>2.8129346341177119</v>
      </c>
      <c r="F388" s="158">
        <f t="shared" si="1234"/>
        <v>2.2754525788288498</v>
      </c>
      <c r="G388" s="158">
        <f t="shared" si="1234"/>
        <v>2.0712206865133069</v>
      </c>
      <c r="H388" s="158">
        <f t="shared" si="1247"/>
        <v>2.1581141155108723</v>
      </c>
      <c r="I388" s="158">
        <f t="shared" si="1247"/>
        <v>2.4309437843404624</v>
      </c>
      <c r="J388" s="180">
        <f t="shared" si="1247"/>
        <v>2.2922309165921009</v>
      </c>
      <c r="K388" s="180">
        <f t="shared" si="1236"/>
        <v>2.1146895619977482</v>
      </c>
      <c r="L388" s="127">
        <f t="shared" si="1237"/>
        <v>-7.7453520633211981E-2</v>
      </c>
      <c r="M388" s="2"/>
      <c r="N388" s="133" t="s">
        <v>3</v>
      </c>
      <c r="O388" s="158">
        <f t="shared" si="1238"/>
        <v>2.892806766352062</v>
      </c>
      <c r="P388" s="158">
        <f t="shared" si="1238"/>
        <v>2.8302766122118777</v>
      </c>
      <c r="Q388" s="158">
        <f t="shared" si="1238"/>
        <v>3.048792647554305</v>
      </c>
      <c r="R388" s="158">
        <f t="shared" si="1238"/>
        <v>2.9545365999696522</v>
      </c>
      <c r="S388" s="158">
        <f t="shared" si="1238"/>
        <v>2.4598095540443055</v>
      </c>
      <c r="T388" s="158">
        <f t="shared" si="1238"/>
        <v>2.0701961663475545</v>
      </c>
      <c r="U388" s="158">
        <f t="shared" si="1238"/>
        <v>2.2369171760347131</v>
      </c>
      <c r="V388" s="158">
        <f t="shared" si="1243"/>
        <v>2.0777557032224991</v>
      </c>
      <c r="W388" s="180">
        <f t="shared" si="1248"/>
        <v>2.1029420789947295</v>
      </c>
      <c r="X388" s="180">
        <f t="shared" si="1239"/>
        <v>2.0771575601873948</v>
      </c>
      <c r="Y388" s="147">
        <f t="shared" si="1240"/>
        <v>-1.2261164520356416E-2</v>
      </c>
      <c r="Z388" s="127">
        <f t="shared" si="1241"/>
        <v>-3.3251312052676729E-2</v>
      </c>
    </row>
    <row r="389" spans="1:26" x14ac:dyDescent="0.25">
      <c r="A389" s="133" t="s">
        <v>4</v>
      </c>
      <c r="B389" s="158">
        <f t="shared" si="1234"/>
        <v>3.1665043137704325</v>
      </c>
      <c r="C389" s="158">
        <f t="shared" si="1234"/>
        <v>2.9437047147999311</v>
      </c>
      <c r="D389" s="158">
        <f t="shared" si="1234"/>
        <v>3.1298945863914613</v>
      </c>
      <c r="E389" s="158">
        <f t="shared" si="1234"/>
        <v>2.5427506573506289</v>
      </c>
      <c r="F389" s="158">
        <f t="shared" si="1234"/>
        <v>2.0053209256627103</v>
      </c>
      <c r="G389" s="158">
        <f t="shared" si="1234"/>
        <v>1.8962924969083441</v>
      </c>
      <c r="H389" s="158">
        <f t="shared" si="1247"/>
        <v>2.4321153495305552</v>
      </c>
      <c r="I389" s="158">
        <f t="shared" si="1247"/>
        <v>2.2228378269958839</v>
      </c>
      <c r="J389" s="180">
        <f t="shared" si="1247"/>
        <v>1.9749167551563749</v>
      </c>
      <c r="K389" s="180"/>
      <c r="L389" s="127"/>
      <c r="M389" s="2"/>
      <c r="N389" s="133" t="s">
        <v>4</v>
      </c>
      <c r="O389" s="158">
        <f t="shared" si="1238"/>
        <v>2.908216309805832</v>
      </c>
      <c r="P389" s="158">
        <f t="shared" si="1238"/>
        <v>2.8161156623013208</v>
      </c>
      <c r="Q389" s="158">
        <f t="shared" si="1238"/>
        <v>3.0652858744261371</v>
      </c>
      <c r="R389" s="158">
        <f t="shared" si="1238"/>
        <v>2.9081349057466088</v>
      </c>
      <c r="S389" s="158">
        <f t="shared" si="1238"/>
        <v>2.4077838488786245</v>
      </c>
      <c r="T389" s="158">
        <f t="shared" si="1238"/>
        <v>2.0608231149131777</v>
      </c>
      <c r="U389" s="158">
        <f t="shared" si="1238"/>
        <v>2.2803738619305016</v>
      </c>
      <c r="V389" s="158">
        <f t="shared" si="1243"/>
        <v>2.0653222759959897</v>
      </c>
      <c r="W389" s="180">
        <f t="shared" si="1248"/>
        <v>2.079017599863243</v>
      </c>
      <c r="X389" s="180"/>
      <c r="Y389" s="147"/>
      <c r="Z389" s="127"/>
    </row>
    <row r="390" spans="1:26" x14ac:dyDescent="0.25">
      <c r="A390" s="133" t="s">
        <v>5</v>
      </c>
      <c r="B390" s="158">
        <f t="shared" si="1234"/>
        <v>2.7925490522421383</v>
      </c>
      <c r="C390" s="158">
        <f t="shared" si="1234"/>
        <v>3.0426387846324565</v>
      </c>
      <c r="D390" s="158">
        <f t="shared" si="1234"/>
        <v>3.2388654775311507</v>
      </c>
      <c r="E390" s="158">
        <f t="shared" si="1234"/>
        <v>2.6068932660748461</v>
      </c>
      <c r="F390" s="158">
        <f t="shared" si="1234"/>
        <v>1.7427805236622476</v>
      </c>
      <c r="G390" s="158">
        <f t="shared" si="1234"/>
        <v>2.0521332466245799</v>
      </c>
      <c r="H390" s="158">
        <f t="shared" si="1247"/>
        <v>2.2956091441970097</v>
      </c>
      <c r="I390" s="158">
        <f t="shared" si="1247"/>
        <v>2.1489796248930588</v>
      </c>
      <c r="J390" s="180">
        <f t="shared" ref="J390" si="1249">+J211/J32</f>
        <v>1.9112140145264249</v>
      </c>
      <c r="K390" s="180"/>
      <c r="L390" s="127"/>
      <c r="M390" s="2"/>
      <c r="N390" s="133" t="s">
        <v>5</v>
      </c>
      <c r="O390" s="158">
        <f t="shared" si="1238"/>
        <v>2.8926618178596502</v>
      </c>
      <c r="P390" s="158">
        <f t="shared" si="1238"/>
        <v>2.8367411760347401</v>
      </c>
      <c r="Q390" s="158">
        <f t="shared" si="1238"/>
        <v>3.0812702402603862</v>
      </c>
      <c r="R390" s="158">
        <f t="shared" si="1238"/>
        <v>2.8603215572832847</v>
      </c>
      <c r="S390" s="158">
        <f t="shared" si="1238"/>
        <v>2.308960072491347</v>
      </c>
      <c r="T390" s="158">
        <f t="shared" si="1238"/>
        <v>2.097561385093933</v>
      </c>
      <c r="U390" s="158">
        <f t="shared" si="1238"/>
        <v>2.2994010459642982</v>
      </c>
      <c r="V390" s="158">
        <f t="shared" si="1243"/>
        <v>2.0519854137369831</v>
      </c>
      <c r="W390" s="180">
        <f t="shared" si="1248"/>
        <v>2.0547034567655653</v>
      </c>
      <c r="X390" s="180"/>
      <c r="Y390" s="147"/>
      <c r="Z390" s="127"/>
    </row>
    <row r="391" spans="1:26" x14ac:dyDescent="0.25">
      <c r="A391" s="133" t="s">
        <v>6</v>
      </c>
      <c r="B391" s="158">
        <f t="shared" si="1234"/>
        <v>3.0441602858516412</v>
      </c>
      <c r="C391" s="158">
        <f t="shared" si="1234"/>
        <v>3.1423009298979308</v>
      </c>
      <c r="D391" s="158">
        <f t="shared" si="1234"/>
        <v>3.0686945302420141</v>
      </c>
      <c r="E391" s="158">
        <f t="shared" si="1234"/>
        <v>2.55115757430706</v>
      </c>
      <c r="F391" s="158">
        <f t="shared" si="1234"/>
        <v>2.3219096927989211</v>
      </c>
      <c r="G391" s="158">
        <f t="shared" si="1234"/>
        <v>2.6617397932468836</v>
      </c>
      <c r="H391" s="158">
        <f t="shared" si="1247"/>
        <v>1.8406434809071817</v>
      </c>
      <c r="I391" s="158">
        <f>+I212/I33</f>
        <v>2.3489931278539142</v>
      </c>
      <c r="J391" s="180">
        <f t="shared" ref="J391:J394" si="1250">+J212/J33</f>
        <v>2.3951276746696735</v>
      </c>
      <c r="K391" s="180"/>
      <c r="L391" s="127"/>
      <c r="M391" s="2"/>
      <c r="N391" s="133" t="s">
        <v>6</v>
      </c>
      <c r="O391" s="158">
        <f t="shared" si="1238"/>
        <v>2.8993011993394568</v>
      </c>
      <c r="P391" s="158">
        <f t="shared" si="1238"/>
        <v>2.8463168996902874</v>
      </c>
      <c r="Q391" s="158">
        <f t="shared" si="1238"/>
        <v>3.0742272536966335</v>
      </c>
      <c r="R391" s="158">
        <f t="shared" si="1238"/>
        <v>2.8135669657422011</v>
      </c>
      <c r="S391" s="158">
        <f t="shared" si="1238"/>
        <v>2.292142765776795</v>
      </c>
      <c r="T391" s="158">
        <f t="shared" si="1238"/>
        <v>2.1259493238886416</v>
      </c>
      <c r="U391" s="158">
        <f t="shared" si="1238"/>
        <v>2.2176954655603107</v>
      </c>
      <c r="V391" s="158">
        <f t="shared" si="1243"/>
        <v>2.1059431856420319</v>
      </c>
      <c r="W391" s="180">
        <f t="shared" si="1248"/>
        <v>2.0587930202104419</v>
      </c>
      <c r="X391" s="180"/>
      <c r="Y391" s="147"/>
      <c r="Z391" s="127"/>
    </row>
    <row r="392" spans="1:26" x14ac:dyDescent="0.25">
      <c r="A392" s="133" t="s">
        <v>7</v>
      </c>
      <c r="B392" s="158">
        <f t="shared" si="1234"/>
        <v>2.5496952563767672</v>
      </c>
      <c r="C392" s="158">
        <f t="shared" si="1234"/>
        <v>3.4720721231029747</v>
      </c>
      <c r="D392" s="158">
        <f t="shared" si="1234"/>
        <v>3.1834944358703599</v>
      </c>
      <c r="E392" s="158">
        <f t="shared" si="1234"/>
        <v>2.8301936232624243</v>
      </c>
      <c r="F392" s="158">
        <f t="shared" si="1234"/>
        <v>2.2552835544919745</v>
      </c>
      <c r="G392" s="158">
        <f t="shared" si="1234"/>
        <v>2.3699454970712357</v>
      </c>
      <c r="H392" s="158">
        <f t="shared" si="1247"/>
        <v>1.8716305368669921</v>
      </c>
      <c r="I392" s="158">
        <f t="shared" si="1247"/>
        <v>2.4134244890136589</v>
      </c>
      <c r="J392" s="180">
        <f t="shared" si="1250"/>
        <v>2.2394340327616167</v>
      </c>
      <c r="K392" s="180"/>
      <c r="L392" s="127"/>
      <c r="M392" s="2"/>
      <c r="N392" s="133" t="s">
        <v>7</v>
      </c>
      <c r="O392" s="158">
        <f t="shared" si="1238"/>
        <v>2.8422579850802898</v>
      </c>
      <c r="P392" s="158">
        <f t="shared" si="1238"/>
        <v>2.9256264965978329</v>
      </c>
      <c r="Q392" s="158">
        <f t="shared" si="1238"/>
        <v>3.0521547480276796</v>
      </c>
      <c r="R392" s="158">
        <f t="shared" si="1238"/>
        <v>2.788004660475135</v>
      </c>
      <c r="S392" s="158">
        <f t="shared" si="1238"/>
        <v>2.2474792815296443</v>
      </c>
      <c r="T392" s="158">
        <f t="shared" si="1238"/>
        <v>2.1341323928746827</v>
      </c>
      <c r="U392" s="158">
        <f t="shared" si="1238"/>
        <v>2.1786867440060238</v>
      </c>
      <c r="V392" s="158">
        <f t="shared" si="1243"/>
        <v>2.1562813255086852</v>
      </c>
      <c r="W392" s="180">
        <f t="shared" si="1243"/>
        <v>2.0437052158288371</v>
      </c>
      <c r="X392" s="180"/>
      <c r="Y392" s="147"/>
      <c r="Z392" s="127"/>
    </row>
    <row r="393" spans="1:26" x14ac:dyDescent="0.25">
      <c r="A393" s="133" t="s">
        <v>8</v>
      </c>
      <c r="B393" s="158">
        <f t="shared" ref="B393:G395" si="1251">+B214/B35</f>
        <v>2.7107532952474651</v>
      </c>
      <c r="C393" s="158">
        <f t="shared" si="1251"/>
        <v>2.9748918389231966</v>
      </c>
      <c r="D393" s="158">
        <f t="shared" si="1251"/>
        <v>2.9083225042054037</v>
      </c>
      <c r="E393" s="158">
        <f t="shared" si="1251"/>
        <v>2.3777427647781484</v>
      </c>
      <c r="F393" s="158">
        <f t="shared" si="1251"/>
        <v>2.4362709647153329</v>
      </c>
      <c r="G393" s="158">
        <f t="shared" si="1251"/>
        <v>2.2163271274052292</v>
      </c>
      <c r="H393" s="158">
        <f t="shared" si="1247"/>
        <v>1.7644720231926174</v>
      </c>
      <c r="I393" s="158">
        <f t="shared" si="1247"/>
        <v>2.0366365900018399</v>
      </c>
      <c r="J393" s="180">
        <f t="shared" si="1250"/>
        <v>2.344683530044521</v>
      </c>
      <c r="K393" s="180"/>
      <c r="L393" s="127"/>
      <c r="M393" s="2"/>
      <c r="N393" s="133" t="s">
        <v>8</v>
      </c>
      <c r="O393" s="158">
        <f t="shared" ref="O393:S395" si="1252">+O214/O35</f>
        <v>2.8410029763949409</v>
      </c>
      <c r="P393" s="158">
        <f t="shared" si="1252"/>
        <v>2.9479059761926054</v>
      </c>
      <c r="Q393" s="158">
        <f t="shared" si="1252"/>
        <v>3.0442218172599103</v>
      </c>
      <c r="R393" s="158">
        <f t="shared" si="1252"/>
        <v>2.7444887065233114</v>
      </c>
      <c r="S393" s="158">
        <f t="shared" si="1252"/>
        <v>2.2559372819334156</v>
      </c>
      <c r="T393" s="158">
        <f t="shared" ref="T393" si="1253">+T214/T35</f>
        <v>2.1172606893299792</v>
      </c>
      <c r="U393" s="158">
        <f t="shared" si="1238"/>
        <v>2.1447667645562545</v>
      </c>
      <c r="V393" s="158">
        <f t="shared" si="1243"/>
        <v>2.1782602007291509</v>
      </c>
      <c r="W393" s="180">
        <f t="shared" si="124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251"/>
        <v>2.898987024614712</v>
      </c>
      <c r="C394" s="158">
        <f t="shared" si="1251"/>
        <v>2.974758350225259</v>
      </c>
      <c r="D394" s="158">
        <f t="shared" si="1251"/>
        <v>2.8013618727800615</v>
      </c>
      <c r="E394" s="158">
        <f t="shared" si="1251"/>
        <v>2.4041635859988815</v>
      </c>
      <c r="F394" s="158">
        <f t="shared" si="1251"/>
        <v>2.0000880489418584</v>
      </c>
      <c r="G394" s="158">
        <f t="shared" si="1251"/>
        <v>2.3393722432417801</v>
      </c>
      <c r="H394" s="158">
        <f t="shared" si="1247"/>
        <v>2.2511992489631996</v>
      </c>
      <c r="I394" s="158">
        <f t="shared" si="1247"/>
        <v>1.9691015308773243</v>
      </c>
      <c r="J394" s="180">
        <f t="shared" si="1250"/>
        <v>1.8369589448228132</v>
      </c>
      <c r="K394" s="180"/>
      <c r="L394" s="127"/>
      <c r="M394" s="2"/>
      <c r="N394" s="133" t="s">
        <v>9</v>
      </c>
      <c r="O394" s="158">
        <f t="shared" si="1252"/>
        <v>2.8580085985001284</v>
      </c>
      <c r="P394" s="158">
        <f t="shared" si="1252"/>
        <v>2.9533332335492712</v>
      </c>
      <c r="Q394" s="158">
        <f t="shared" si="1252"/>
        <v>3.0199717989715258</v>
      </c>
      <c r="R394" s="158">
        <f t="shared" si="1252"/>
        <v>2.7015011622396781</v>
      </c>
      <c r="S394" s="158">
        <f t="shared" si="1252"/>
        <v>2.2220207170066426</v>
      </c>
      <c r="T394" s="158">
        <f t="shared" ref="T394" si="1254">+T215/T36</f>
        <v>2.1481385339252217</v>
      </c>
      <c r="U394" s="158">
        <f t="shared" si="1238"/>
        <v>2.1316099287213053</v>
      </c>
      <c r="V394" s="158">
        <f t="shared" si="1243"/>
        <v>2.1486989557603948</v>
      </c>
      <c r="W394" s="180">
        <f t="shared" si="124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251"/>
        <v>2.8580085985001284</v>
      </c>
      <c r="C395" s="182">
        <f t="shared" si="1251"/>
        <v>2.9533332335492712</v>
      </c>
      <c r="D395" s="182">
        <f t="shared" si="1251"/>
        <v>3.0199717989715258</v>
      </c>
      <c r="E395" s="182">
        <f t="shared" si="1251"/>
        <v>2.7015011622396781</v>
      </c>
      <c r="F395" s="182">
        <f t="shared" si="1251"/>
        <v>2.2220207170066426</v>
      </c>
      <c r="G395" s="182">
        <f t="shared" ref="G395:I395" si="1255">+G216/G37</f>
        <v>2.1481385339252217</v>
      </c>
      <c r="H395" s="182">
        <f t="shared" si="1255"/>
        <v>2.1316099287213053</v>
      </c>
      <c r="I395" s="182">
        <f t="shared" si="1255"/>
        <v>2.1486989557603948</v>
      </c>
      <c r="J395" s="183">
        <f t="shared" ref="J395" si="1256">+J216/J37</f>
        <v>2.0553020155341017</v>
      </c>
      <c r="K395" s="183"/>
      <c r="L395" s="137"/>
      <c r="M395" s="3"/>
      <c r="N395" s="134" t="s">
        <v>14</v>
      </c>
      <c r="O395" s="182">
        <f t="shared" si="1252"/>
        <v>2.8731636086218066</v>
      </c>
      <c r="P395" s="182">
        <f t="shared" si="1252"/>
        <v>2.863149266322409</v>
      </c>
      <c r="Q395" s="182">
        <f t="shared" si="1252"/>
        <v>3.0438313477528878</v>
      </c>
      <c r="R395" s="182">
        <f t="shared" si="1252"/>
        <v>2.8852308111851301</v>
      </c>
      <c r="S395" s="182">
        <f t="shared" si="125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2.0713275943352905</v>
      </c>
      <c r="Y395" s="149">
        <f>+X395/W395-1</f>
        <v>-5.6020021559156641E-3</v>
      </c>
      <c r="Z395" s="156">
        <f>+POWER(X395/S395,0.2)-1</f>
        <v>-3.0015496482428405E-2</v>
      </c>
    </row>
    <row r="396" spans="1:26" ht="25.5" x14ac:dyDescent="0.25">
      <c r="A396" s="135" t="s">
        <v>15</v>
      </c>
      <c r="B396" s="138">
        <f t="shared" ref="B396:I396" si="1257">+B395/B$539</f>
        <v>0.90712296353205246</v>
      </c>
      <c r="C396" s="138">
        <f t="shared" si="1257"/>
        <v>0.82246124416456801</v>
      </c>
      <c r="D396" s="138">
        <f t="shared" si="1257"/>
        <v>1.0050879320271795</v>
      </c>
      <c r="E396" s="138">
        <f t="shared" si="1257"/>
        <v>1.034527924135435</v>
      </c>
      <c r="F396" s="138">
        <f t="shared" si="1257"/>
        <v>1.113203340271528</v>
      </c>
      <c r="G396" s="138">
        <f t="shared" si="1257"/>
        <v>0.7509945830132525</v>
      </c>
      <c r="H396" s="138">
        <f t="shared" si="1257"/>
        <v>0.66797631089982235</v>
      </c>
      <c r="I396" s="138">
        <f t="shared" si="1257"/>
        <v>0.60938320975407001</v>
      </c>
      <c r="J396" s="139">
        <f t="shared" ref="J396" si="1258">+J395/J$539</f>
        <v>0.58932169512878385</v>
      </c>
      <c r="K396" s="139"/>
      <c r="L396" s="140"/>
      <c r="M396" s="3"/>
      <c r="N396" s="135" t="s">
        <v>15</v>
      </c>
      <c r="O396" s="138">
        <f t="shared" ref="O396:T396" si="1259">+O395/O$539</f>
        <v>0.92429459673131309</v>
      </c>
      <c r="P396" s="138">
        <f t="shared" si="1259"/>
        <v>0.84971700261544636</v>
      </c>
      <c r="Q396" s="138">
        <f t="shared" si="1259"/>
        <v>0.88543683435978027</v>
      </c>
      <c r="R396" s="138">
        <f t="shared" si="1259"/>
        <v>1.0462757262059839</v>
      </c>
      <c r="S396" s="138">
        <f t="shared" si="1259"/>
        <v>1.1430007123864696</v>
      </c>
      <c r="T396" s="138">
        <f t="shared" si="1259"/>
        <v>0.85810063549320204</v>
      </c>
      <c r="U396" s="138">
        <f t="shared" ref="U396:X396" si="1260">+U395/U$539</f>
        <v>0.72781417186530095</v>
      </c>
      <c r="V396" s="138">
        <f t="shared" si="1260"/>
        <v>0.6214403774613475</v>
      </c>
      <c r="W396" s="139">
        <f t="shared" si="1260"/>
        <v>0.59388279545695211</v>
      </c>
      <c r="X396" s="139">
        <f t="shared" si="1260"/>
        <v>0.59332660294291217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261">+D395/C395-1</f>
        <v>2.2563849099469735E-2</v>
      </c>
      <c r="E397" s="142">
        <f t="shared" si="1261"/>
        <v>-0.10545483796911792</v>
      </c>
      <c r="F397" s="142">
        <f t="shared" si="1261"/>
        <v>-0.17748666998000562</v>
      </c>
      <c r="G397" s="142">
        <f t="shared" si="1261"/>
        <v>-3.3249997408192455E-2</v>
      </c>
      <c r="H397" s="142">
        <f t="shared" si="1261"/>
        <v>-7.694385135261439E-3</v>
      </c>
      <c r="I397" s="142">
        <f t="shared" ref="I397:J397" si="1262">+I395/H395-1</f>
        <v>8.0169578912314687E-3</v>
      </c>
      <c r="J397" s="143">
        <f t="shared" si="126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263">+Q395/P395-1</f>
        <v>6.3106064205502355E-2</v>
      </c>
      <c r="R397" s="142">
        <f t="shared" si="1263"/>
        <v>-5.2105559884204733E-2</v>
      </c>
      <c r="S397" s="142">
        <f t="shared" si="1263"/>
        <v>-0.16392690221596451</v>
      </c>
      <c r="T397" s="142">
        <f t="shared" si="1263"/>
        <v>-0.12043861554696145</v>
      </c>
      <c r="U397" s="142">
        <f t="shared" si="1263"/>
        <v>3.7439665747616147E-2</v>
      </c>
      <c r="V397" s="142">
        <f t="shared" si="1263"/>
        <v>-4.1589773126095797E-2</v>
      </c>
      <c r="W397" s="143">
        <f t="shared" ref="W397" si="1264">+W395/V395-1</f>
        <v>-1.2622340633004714E-2</v>
      </c>
      <c r="X397" s="143">
        <f t="shared" ref="X397" si="1265">+X395/W395-1</f>
        <v>-5.6020021559156641E-3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141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142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266">+C400+1</f>
        <v>2018</v>
      </c>
      <c r="E400" s="129">
        <f t="shared" ref="E400" si="1267">+D400+1</f>
        <v>2019</v>
      </c>
      <c r="F400" s="129">
        <f t="shared" ref="F400" si="1268">+E400+1</f>
        <v>2020</v>
      </c>
      <c r="G400" s="129">
        <f t="shared" ref="G400" si="1269">+F400+1</f>
        <v>2021</v>
      </c>
      <c r="H400" s="129">
        <f t="shared" ref="H400" si="1270">+G400+1</f>
        <v>2022</v>
      </c>
      <c r="I400" s="129">
        <f t="shared" ref="I400" si="1271">+H400+1</f>
        <v>2023</v>
      </c>
      <c r="J400" s="130">
        <f t="shared" ref="J400:K400" si="1272">+I400+1</f>
        <v>2024</v>
      </c>
      <c r="K400" s="130">
        <f t="shared" si="127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273">+P400+1</f>
        <v>2018</v>
      </c>
      <c r="R400" s="129">
        <f t="shared" si="1273"/>
        <v>2019</v>
      </c>
      <c r="S400" s="129">
        <f t="shared" si="1273"/>
        <v>2020</v>
      </c>
      <c r="T400" s="129">
        <f t="shared" si="127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274">+B222/B43</f>
        <v>3.1696558458713877</v>
      </c>
      <c r="C401" s="158">
        <f t="shared" si="1274"/>
        <v>3.50699402482554</v>
      </c>
      <c r="D401" s="158">
        <f t="shared" si="1274"/>
        <v>4.2087328447789751</v>
      </c>
      <c r="E401" s="158">
        <f t="shared" si="1274"/>
        <v>1.4303046894182667</v>
      </c>
      <c r="F401" s="158">
        <f t="shared" si="1274"/>
        <v>1.182043110234672</v>
      </c>
      <c r="G401" s="158">
        <f t="shared" si="1274"/>
        <v>2.0937419701535847</v>
      </c>
      <c r="H401" s="158">
        <f t="shared" ref="H401:J401" si="1275">+H222/H43</f>
        <v>4.8451267780730234</v>
      </c>
      <c r="I401" s="158">
        <f t="shared" si="1275"/>
        <v>4.4038306336305224</v>
      </c>
      <c r="J401" s="180">
        <f t="shared" si="1275"/>
        <v>4.0345665606992567</v>
      </c>
      <c r="K401" s="180">
        <f t="shared" ref="K401:K406" si="1276">+K222/K43</f>
        <v>3.462625990272008</v>
      </c>
      <c r="L401" s="127">
        <f t="shared" ref="L401:L406" si="1277">+K401/J401-1</f>
        <v>-0.14176010280720763</v>
      </c>
      <c r="M401" s="2"/>
      <c r="N401" s="133" t="s">
        <v>10</v>
      </c>
      <c r="O401" s="158">
        <f t="shared" ref="O401:U412" si="1278">+O222/O43</f>
        <v>3.2454869276217302</v>
      </c>
      <c r="P401" s="158">
        <f t="shared" si="1278"/>
        <v>3.2905023147628034</v>
      </c>
      <c r="Q401" s="158">
        <f t="shared" si="1278"/>
        <v>3.9726390631520134</v>
      </c>
      <c r="R401" s="158">
        <f t="shared" si="1278"/>
        <v>2.6272743302679222</v>
      </c>
      <c r="S401" s="158">
        <f t="shared" si="1278"/>
        <v>1.9280766629478896</v>
      </c>
      <c r="T401" s="158">
        <f t="shared" si="1278"/>
        <v>1.563922534002437</v>
      </c>
      <c r="U401" s="158">
        <f t="shared" si="1278"/>
        <v>2.4907495533592381</v>
      </c>
      <c r="V401" s="158">
        <f t="shared" ref="V401:X406" si="1279">+V222/V43</f>
        <v>4.0697776147595528</v>
      </c>
      <c r="W401" s="180">
        <f t="shared" si="1279"/>
        <v>4.3479159488118917</v>
      </c>
      <c r="X401" s="180">
        <f t="shared" si="1279"/>
        <v>3.5052349488593113</v>
      </c>
      <c r="Y401" s="147">
        <f t="shared" ref="Y401:Y406" si="1280">+X401/W401-1</f>
        <v>-0.1938126242258319</v>
      </c>
      <c r="Z401" s="127">
        <f t="shared" ref="Z401:Z406" si="1281">+POWER(X401/S401,0.2)-1</f>
        <v>0.12698611929959602</v>
      </c>
    </row>
    <row r="402" spans="1:26" x14ac:dyDescent="0.25">
      <c r="A402" s="133" t="s">
        <v>11</v>
      </c>
      <c r="B402" s="158">
        <f t="shared" si="1274"/>
        <v>3.1446680864837782</v>
      </c>
      <c r="C402" s="158">
        <f t="shared" si="1274"/>
        <v>3.5637854452326381</v>
      </c>
      <c r="D402" s="158">
        <f t="shared" si="1274"/>
        <v>4.0166992552902094</v>
      </c>
      <c r="E402" s="158">
        <f t="shared" si="1274"/>
        <v>1.6735676189287225</v>
      </c>
      <c r="F402" s="158">
        <f t="shared" si="1274"/>
        <v>1.6532754410142303</v>
      </c>
      <c r="G402" s="158">
        <f t="shared" si="1274"/>
        <v>1.2424790239765369</v>
      </c>
      <c r="H402" s="158">
        <f t="shared" ref="H402:J402" si="1282">+H223/H44</f>
        <v>3.9283214996186482</v>
      </c>
      <c r="I402" s="158">
        <f t="shared" si="1282"/>
        <v>4.0684137788215269</v>
      </c>
      <c r="J402" s="180">
        <f t="shared" si="1282"/>
        <v>4.7289076663387242</v>
      </c>
      <c r="K402" s="180">
        <f t="shared" si="1276"/>
        <v>4.3034515242132469</v>
      </c>
      <c r="L402" s="127">
        <f t="shared" si="1277"/>
        <v>-8.9969221677546396E-2</v>
      </c>
      <c r="M402" s="2"/>
      <c r="N402" s="133" t="s">
        <v>11</v>
      </c>
      <c r="O402" s="158">
        <f t="shared" si="1278"/>
        <v>3.2489821691453153</v>
      </c>
      <c r="P402" s="158">
        <f t="shared" si="1278"/>
        <v>3.3199383278310508</v>
      </c>
      <c r="Q402" s="158">
        <f t="shared" si="1278"/>
        <v>4.0080062813302879</v>
      </c>
      <c r="R402" s="158">
        <f t="shared" si="1278"/>
        <v>2.4770874638257752</v>
      </c>
      <c r="S402" s="158">
        <f t="shared" si="1278"/>
        <v>1.9217288548896112</v>
      </c>
      <c r="T402" s="158">
        <f t="shared" si="1278"/>
        <v>1.529064581638832</v>
      </c>
      <c r="U402" s="158">
        <f t="shared" si="1278"/>
        <v>2.7602900532181369</v>
      </c>
      <c r="V402" s="158">
        <f t="shared" ref="V402:W412" si="1283">+V223/V44</f>
        <v>4.0851332572218979</v>
      </c>
      <c r="W402" s="180">
        <f t="shared" si="1283"/>
        <v>4.3940753802194976</v>
      </c>
      <c r="X402" s="180">
        <f t="shared" si="1279"/>
        <v>3.4855505731175698</v>
      </c>
      <c r="Y402" s="147">
        <f t="shared" si="1280"/>
        <v>-0.20676131574614554</v>
      </c>
      <c r="Z402" s="127">
        <f t="shared" si="1281"/>
        <v>0.1264602093037126</v>
      </c>
    </row>
    <row r="403" spans="1:26" x14ac:dyDescent="0.25">
      <c r="A403" s="133" t="s">
        <v>0</v>
      </c>
      <c r="B403" s="158">
        <f t="shared" si="1274"/>
        <v>3.4773702364697217</v>
      </c>
      <c r="C403" s="158">
        <f t="shared" si="1274"/>
        <v>3.9686602055569655</v>
      </c>
      <c r="D403" s="158">
        <f t="shared" si="1274"/>
        <v>4.2638471563468876</v>
      </c>
      <c r="E403" s="158">
        <f t="shared" si="1274"/>
        <v>2.3518567270759605</v>
      </c>
      <c r="F403" s="158">
        <f t="shared" si="1274"/>
        <v>1.521915389015247</v>
      </c>
      <c r="G403" s="158">
        <f t="shared" si="1274"/>
        <v>1.6193535988023802</v>
      </c>
      <c r="H403" s="158">
        <f t="shared" ref="H403:J403" si="1284">+H224/H45</f>
        <v>4.7989667727914682</v>
      </c>
      <c r="I403" s="158">
        <f t="shared" si="1284"/>
        <v>4.2307922033965788</v>
      </c>
      <c r="J403" s="180">
        <f t="shared" si="1284"/>
        <v>1.5530705334846431</v>
      </c>
      <c r="K403" s="180">
        <f t="shared" si="1276"/>
        <v>4.5599353280085477</v>
      </c>
      <c r="L403" s="127">
        <f t="shared" si="1277"/>
        <v>1.9360774219168051</v>
      </c>
      <c r="M403" s="2"/>
      <c r="N403" s="133" t="s">
        <v>0</v>
      </c>
      <c r="O403" s="158">
        <f t="shared" si="1278"/>
        <v>3.2770483830368358</v>
      </c>
      <c r="P403" s="158">
        <f t="shared" si="1278"/>
        <v>3.3534202693986037</v>
      </c>
      <c r="Q403" s="158">
        <f t="shared" si="1278"/>
        <v>4.0285038460840381</v>
      </c>
      <c r="R403" s="158">
        <f t="shared" si="1278"/>
        <v>2.3992926122592664</v>
      </c>
      <c r="S403" s="158">
        <f t="shared" si="1278"/>
        <v>1.8449292052523012</v>
      </c>
      <c r="T403" s="158">
        <f t="shared" si="1278"/>
        <v>1.5363839777557058</v>
      </c>
      <c r="U403" s="158">
        <f t="shared" si="1278"/>
        <v>2.9831363323699756</v>
      </c>
      <c r="V403" s="158">
        <f t="shared" si="1283"/>
        <v>4.054582947237825</v>
      </c>
      <c r="W403" s="180">
        <f t="shared" si="1283"/>
        <v>3.8980960971729068</v>
      </c>
      <c r="X403" s="180">
        <f t="shared" si="1279"/>
        <v>3.8590072192762133</v>
      </c>
      <c r="Y403" s="147">
        <f t="shared" si="1280"/>
        <v>-1.0027684521436653E-2</v>
      </c>
      <c r="Z403" s="127">
        <f t="shared" si="1281"/>
        <v>0.15904200892719511</v>
      </c>
    </row>
    <row r="404" spans="1:26" x14ac:dyDescent="0.25">
      <c r="A404" s="133" t="s">
        <v>1</v>
      </c>
      <c r="B404" s="158">
        <f t="shared" si="1274"/>
        <v>2.9455544591335316</v>
      </c>
      <c r="C404" s="158">
        <f t="shared" si="1274"/>
        <v>3.5673087776581713</v>
      </c>
      <c r="D404" s="158">
        <f t="shared" si="1274"/>
        <v>4.0714655501921628</v>
      </c>
      <c r="E404" s="158">
        <f t="shared" si="1274"/>
        <v>2.0809943920783089</v>
      </c>
      <c r="F404" s="158">
        <f t="shared" si="1274"/>
        <v>1.4150023587178258</v>
      </c>
      <c r="G404" s="158">
        <f t="shared" si="1274"/>
        <v>2.3334864104175059</v>
      </c>
      <c r="H404" s="158">
        <f t="shared" ref="H404:J404" si="1285">+H225/H46</f>
        <v>3.2769813946375179</v>
      </c>
      <c r="I404" s="158">
        <f t="shared" si="1285"/>
        <v>4.2877827191999449</v>
      </c>
      <c r="J404" s="180">
        <f t="shared" si="1285"/>
        <v>1.675048939047826</v>
      </c>
      <c r="K404" s="180">
        <f t="shared" si="1276"/>
        <v>4.845283646647812</v>
      </c>
      <c r="L404" s="127">
        <f t="shared" si="1277"/>
        <v>1.8926221399848124</v>
      </c>
      <c r="M404" s="2"/>
      <c r="N404" s="133" t="s">
        <v>1</v>
      </c>
      <c r="O404" s="158">
        <f t="shared" si="1278"/>
        <v>3.2424167314778551</v>
      </c>
      <c r="P404" s="158">
        <f t="shared" si="1278"/>
        <v>3.4138775017497691</v>
      </c>
      <c r="Q404" s="158">
        <f t="shared" si="1278"/>
        <v>4.0734446449533079</v>
      </c>
      <c r="R404" s="158">
        <f t="shared" si="1278"/>
        <v>2.3028455150301821</v>
      </c>
      <c r="S404" s="158">
        <f t="shared" si="1278"/>
        <v>1.7782636091070987</v>
      </c>
      <c r="T404" s="158">
        <f t="shared" si="1278"/>
        <v>1.6036643465528766</v>
      </c>
      <c r="U404" s="158">
        <f t="shared" si="1278"/>
        <v>3.0885094240100317</v>
      </c>
      <c r="V404" s="158">
        <f t="shared" si="1283"/>
        <v>4.1304676374612326</v>
      </c>
      <c r="W404" s="180">
        <f t="shared" ref="W404" si="1286">+W225/W46</f>
        <v>3.5272599818890504</v>
      </c>
      <c r="X404" s="180">
        <f t="shared" si="1279"/>
        <v>4.2626760971754818</v>
      </c>
      <c r="Y404" s="147">
        <f t="shared" si="1280"/>
        <v>0.20849501286054162</v>
      </c>
      <c r="Z404" s="127">
        <f t="shared" si="1281"/>
        <v>0.19106986975828377</v>
      </c>
    </row>
    <row r="405" spans="1:26" x14ac:dyDescent="0.25">
      <c r="A405" s="133" t="s">
        <v>2</v>
      </c>
      <c r="B405" s="158">
        <f t="shared" si="1274"/>
        <v>2.9574226715632257</v>
      </c>
      <c r="C405" s="158">
        <f t="shared" si="1274"/>
        <v>3.9306389293688251</v>
      </c>
      <c r="D405" s="158">
        <f t="shared" si="1274"/>
        <v>4.1299647826096688</v>
      </c>
      <c r="E405" s="158">
        <f t="shared" si="1274"/>
        <v>2.0585026522159939</v>
      </c>
      <c r="F405" s="158">
        <f t="shared" si="1274"/>
        <v>1.2852645483165108</v>
      </c>
      <c r="G405" s="158">
        <f t="shared" si="1274"/>
        <v>2.0901720841038429</v>
      </c>
      <c r="H405" s="158">
        <f t="shared" ref="H405:J412" si="1287">+H226/H47</f>
        <v>4.50577804812922</v>
      </c>
      <c r="I405" s="158">
        <f t="shared" si="1287"/>
        <v>4.2917941708610021</v>
      </c>
      <c r="J405" s="180">
        <f t="shared" si="1287"/>
        <v>4.5719349557311126</v>
      </c>
      <c r="K405" s="180">
        <f t="shared" si="1276"/>
        <v>3.506755287225829</v>
      </c>
      <c r="L405" s="127">
        <f t="shared" si="1277"/>
        <v>-0.23298224467739559</v>
      </c>
      <c r="M405" s="2"/>
      <c r="N405" s="133" t="s">
        <v>2</v>
      </c>
      <c r="O405" s="158">
        <f t="shared" si="1278"/>
        <v>3.2169191251396536</v>
      </c>
      <c r="P405" s="158">
        <f t="shared" si="1278"/>
        <v>3.5064946965952242</v>
      </c>
      <c r="Q405" s="158">
        <f t="shared" si="1278"/>
        <v>4.0908464773311533</v>
      </c>
      <c r="R405" s="158">
        <f t="shared" si="1278"/>
        <v>2.2058901070226256</v>
      </c>
      <c r="S405" s="158">
        <f t="shared" si="1278"/>
        <v>1.6922510351575755</v>
      </c>
      <c r="T405" s="158">
        <f t="shared" si="1278"/>
        <v>1.6850899108571578</v>
      </c>
      <c r="U405" s="158">
        <f t="shared" si="1278"/>
        <v>3.3553008937509277</v>
      </c>
      <c r="V405" s="158">
        <f t="shared" si="1283"/>
        <v>4.0955160677607596</v>
      </c>
      <c r="W405" s="180">
        <f t="shared" ref="W405:W409" si="1288">+W226/W47</f>
        <v>3.5600830200307922</v>
      </c>
      <c r="X405" s="180">
        <f t="shared" si="1279"/>
        <v>4.1525056963166094</v>
      </c>
      <c r="Y405" s="147">
        <f t="shared" si="1280"/>
        <v>0.16640698347554062</v>
      </c>
      <c r="Z405" s="127">
        <f t="shared" si="1281"/>
        <v>0.19665535798382039</v>
      </c>
    </row>
    <row r="406" spans="1:26" x14ac:dyDescent="0.25">
      <c r="A406" s="133" t="s">
        <v>3</v>
      </c>
      <c r="B406" s="158">
        <f t="shared" si="1274"/>
        <v>2.8237358978368059</v>
      </c>
      <c r="C406" s="158">
        <f t="shared" si="1274"/>
        <v>4.0627736517340614</v>
      </c>
      <c r="D406" s="158">
        <f t="shared" si="1274"/>
        <v>4.1847022287285798</v>
      </c>
      <c r="E406" s="158">
        <f t="shared" si="1274"/>
        <v>2.5757523182055286</v>
      </c>
      <c r="F406" s="158">
        <f t="shared" si="1274"/>
        <v>1.4919728220440216</v>
      </c>
      <c r="G406" s="158">
        <f t="shared" si="1274"/>
        <v>2.287207666270155</v>
      </c>
      <c r="H406" s="158">
        <f t="shared" si="1287"/>
        <v>2.8659389273200016</v>
      </c>
      <c r="I406" s="158">
        <f t="shared" si="1287"/>
        <v>4.1136555812958919</v>
      </c>
      <c r="J406" s="180">
        <f t="shared" si="1287"/>
        <v>4.4707375027684044</v>
      </c>
      <c r="K406" s="180">
        <f t="shared" si="1276"/>
        <v>4.7504314690453002</v>
      </c>
      <c r="L406" s="127">
        <f t="shared" si="1277"/>
        <v>6.2561035199159232E-2</v>
      </c>
      <c r="M406" s="2"/>
      <c r="N406" s="133" t="s">
        <v>3</v>
      </c>
      <c r="O406" s="158">
        <f t="shared" si="1278"/>
        <v>3.1970590549158011</v>
      </c>
      <c r="P406" s="158">
        <f t="shared" si="1278"/>
        <v>3.614778374133671</v>
      </c>
      <c r="Q406" s="158">
        <f t="shared" si="1278"/>
        <v>4.1008351180822418</v>
      </c>
      <c r="R406" s="158">
        <f t="shared" si="1278"/>
        <v>2.1460561754893503</v>
      </c>
      <c r="S406" s="158">
        <f t="shared" si="1278"/>
        <v>1.6426178359000121</v>
      </c>
      <c r="T406" s="158">
        <f t="shared" si="1278"/>
        <v>1.7317275894351958</v>
      </c>
      <c r="U406" s="158">
        <f t="shared" si="1278"/>
        <v>3.4361898414448846</v>
      </c>
      <c r="V406" s="158">
        <f t="shared" si="1283"/>
        <v>4.3007244140163774</v>
      </c>
      <c r="W406" s="180">
        <f t="shared" si="1288"/>
        <v>3.5472981204779637</v>
      </c>
      <c r="X406" s="180">
        <f t="shared" si="1279"/>
        <v>4.184761737473961</v>
      </c>
      <c r="Y406" s="147">
        <f t="shared" si="1280"/>
        <v>0.17970398747035832</v>
      </c>
      <c r="Z406" s="127">
        <f t="shared" si="1281"/>
        <v>0.20566551832007951</v>
      </c>
    </row>
    <row r="407" spans="1:26" x14ac:dyDescent="0.25">
      <c r="A407" s="133" t="s">
        <v>4</v>
      </c>
      <c r="B407" s="158">
        <f t="shared" si="1274"/>
        <v>3.7423742716040946</v>
      </c>
      <c r="C407" s="158">
        <f t="shared" si="1274"/>
        <v>3.960018040913948</v>
      </c>
      <c r="D407" s="158">
        <f t="shared" si="1274"/>
        <v>2.6114382268987697</v>
      </c>
      <c r="E407" s="158">
        <f t="shared" si="1274"/>
        <v>2.2831575573110237</v>
      </c>
      <c r="F407" s="158">
        <f t="shared" si="1274"/>
        <v>2.0637903095058885</v>
      </c>
      <c r="G407" s="158">
        <f t="shared" si="1274"/>
        <v>3.124276066539029</v>
      </c>
      <c r="H407" s="158">
        <f t="shared" si="1287"/>
        <v>4.209807360953727</v>
      </c>
      <c r="I407" s="158">
        <f t="shared" si="1287"/>
        <v>4.6779610503154316</v>
      </c>
      <c r="J407" s="180">
        <f t="shared" si="1287"/>
        <v>3.9400857492617325</v>
      </c>
      <c r="K407" s="180"/>
      <c r="L407" s="127"/>
      <c r="M407" s="2"/>
      <c r="N407" s="133" t="s">
        <v>4</v>
      </c>
      <c r="O407" s="158">
        <f t="shared" si="1278"/>
        <v>3.2116215246282622</v>
      </c>
      <c r="P407" s="158">
        <f t="shared" si="1278"/>
        <v>3.636350780550579</v>
      </c>
      <c r="Q407" s="158">
        <f t="shared" si="1278"/>
        <v>3.8938391370925851</v>
      </c>
      <c r="R407" s="158">
        <f t="shared" si="1278"/>
        <v>2.1211698021426217</v>
      </c>
      <c r="S407" s="158">
        <f t="shared" si="1278"/>
        <v>1.6297711180698384</v>
      </c>
      <c r="T407" s="158">
        <f t="shared" si="1278"/>
        <v>1.7801785327438135</v>
      </c>
      <c r="U407" s="158">
        <f t="shared" si="1278"/>
        <v>3.5021812515418653</v>
      </c>
      <c r="V407" s="158">
        <f t="shared" si="1283"/>
        <v>4.3438960206545731</v>
      </c>
      <c r="W407" s="180">
        <f t="shared" si="1288"/>
        <v>3.4944059727140178</v>
      </c>
      <c r="X407" s="180"/>
      <c r="Y407" s="147"/>
      <c r="Z407" s="127"/>
    </row>
    <row r="408" spans="1:26" x14ac:dyDescent="0.25">
      <c r="A408" s="133" t="s">
        <v>5</v>
      </c>
      <c r="B408" s="158">
        <f t="shared" si="1274"/>
        <v>3.4689124810278322</v>
      </c>
      <c r="C408" s="158">
        <f t="shared" si="1274"/>
        <v>4.0274258120694242</v>
      </c>
      <c r="D408" s="158">
        <f t="shared" si="1274"/>
        <v>2.5363304849507431</v>
      </c>
      <c r="E408" s="158">
        <f t="shared" si="1274"/>
        <v>2.0287013345954521</v>
      </c>
      <c r="F408" s="158">
        <f t="shared" si="1274"/>
        <v>1.3497907370137525</v>
      </c>
      <c r="G408" s="158">
        <f t="shared" si="1274"/>
        <v>2.6516980143817701</v>
      </c>
      <c r="H408" s="158">
        <f t="shared" si="1287"/>
        <v>4.6925799225775977</v>
      </c>
      <c r="I408" s="158">
        <f t="shared" si="1287"/>
        <v>4.9984661083423498</v>
      </c>
      <c r="J408" s="180">
        <f t="shared" ref="J408" si="1289">+J229/J50</f>
        <v>3.3022217509024059</v>
      </c>
      <c r="K408" s="180"/>
      <c r="L408" s="127"/>
      <c r="M408" s="2"/>
      <c r="N408" s="133" t="s">
        <v>5</v>
      </c>
      <c r="O408" s="158">
        <f t="shared" si="1278"/>
        <v>3.2495608830966054</v>
      </c>
      <c r="P408" s="158">
        <f t="shared" si="1278"/>
        <v>3.6896668838074245</v>
      </c>
      <c r="Q408" s="158">
        <f t="shared" si="1278"/>
        <v>3.6645087782051364</v>
      </c>
      <c r="R408" s="158">
        <f t="shared" si="1278"/>
        <v>2.0754212848139217</v>
      </c>
      <c r="S408" s="158">
        <f t="shared" si="1278"/>
        <v>1.5653915183677769</v>
      </c>
      <c r="T408" s="158">
        <f t="shared" si="1278"/>
        <v>1.8872596992097095</v>
      </c>
      <c r="U408" s="158">
        <f t="shared" si="1278"/>
        <v>3.6824614143516254</v>
      </c>
      <c r="V408" s="158">
        <f t="shared" si="1283"/>
        <v>4.3320616697548564</v>
      </c>
      <c r="W408" s="180">
        <f t="shared" si="1288"/>
        <v>3.4117578693710842</v>
      </c>
      <c r="X408" s="180"/>
      <c r="Y408" s="147"/>
      <c r="Z408" s="127"/>
    </row>
    <row r="409" spans="1:26" x14ac:dyDescent="0.25">
      <c r="A409" s="133" t="s">
        <v>6</v>
      </c>
      <c r="B409" s="158">
        <f t="shared" si="1274"/>
        <v>3.2257788135302787</v>
      </c>
      <c r="C409" s="158">
        <f t="shared" si="1274"/>
        <v>4.0833160099215151</v>
      </c>
      <c r="D409" s="158">
        <f t="shared" si="1274"/>
        <v>2.7559103900609627</v>
      </c>
      <c r="E409" s="158">
        <f t="shared" si="1274"/>
        <v>2.562209732534797</v>
      </c>
      <c r="F409" s="158">
        <f t="shared" si="1274"/>
        <v>1.8112560245327916</v>
      </c>
      <c r="G409" s="158">
        <f t="shared" si="1274"/>
        <v>3.5912912597211788</v>
      </c>
      <c r="H409" s="158">
        <f t="shared" si="1287"/>
        <v>4.8105357637505382</v>
      </c>
      <c r="I409" s="158">
        <f>+I230/I51</f>
        <v>4.2991740469902417</v>
      </c>
      <c r="J409" s="180">
        <f t="shared" ref="J409:J412" si="1290">+J230/J51</f>
        <v>4.5691554205787375</v>
      </c>
      <c r="K409" s="180"/>
      <c r="L409" s="127"/>
      <c r="M409" s="2"/>
      <c r="N409" s="133" t="s">
        <v>6</v>
      </c>
      <c r="O409" s="158">
        <f t="shared" si="1278"/>
        <v>3.2271725053105067</v>
      </c>
      <c r="P409" s="158">
        <f t="shared" si="1278"/>
        <v>3.76703663659426</v>
      </c>
      <c r="Q409" s="158">
        <f t="shared" si="1278"/>
        <v>3.5458857612350902</v>
      </c>
      <c r="R409" s="158">
        <f t="shared" si="1278"/>
        <v>2.0692468254253722</v>
      </c>
      <c r="S409" s="158">
        <f t="shared" si="1278"/>
        <v>1.5304944103482176</v>
      </c>
      <c r="T409" s="158">
        <f t="shared" si="1278"/>
        <v>1.9941430960420146</v>
      </c>
      <c r="U409" s="158">
        <f t="shared" si="1278"/>
        <v>3.7803220374515627</v>
      </c>
      <c r="V409" s="158">
        <f t="shared" si="1283"/>
        <v>4.2698077726849935</v>
      </c>
      <c r="W409" s="180">
        <f t="shared" si="1288"/>
        <v>3.4243636520900465</v>
      </c>
      <c r="X409" s="180"/>
      <c r="Y409" s="147"/>
      <c r="Z409" s="127"/>
    </row>
    <row r="410" spans="1:26" x14ac:dyDescent="0.25">
      <c r="A410" s="133" t="s">
        <v>7</v>
      </c>
      <c r="B410" s="158">
        <f t="shared" si="1274"/>
        <v>3.7599850224663007</v>
      </c>
      <c r="C410" s="158">
        <f t="shared" si="1274"/>
        <v>4.2468625778118065</v>
      </c>
      <c r="D410" s="158">
        <f t="shared" si="1274"/>
        <v>2.8680613740611181</v>
      </c>
      <c r="E410" s="158">
        <f t="shared" si="1274"/>
        <v>2.0027022136589778</v>
      </c>
      <c r="F410" s="158">
        <f t="shared" si="1274"/>
        <v>1.5041435559754193</v>
      </c>
      <c r="G410" s="158">
        <f t="shared" si="1274"/>
        <v>2.8469606067298656</v>
      </c>
      <c r="H410" s="158">
        <f t="shared" si="1287"/>
        <v>4.454840692079177</v>
      </c>
      <c r="I410" s="158">
        <f t="shared" si="1287"/>
        <v>4.2956150123920445</v>
      </c>
      <c r="J410" s="180">
        <f t="shared" si="1290"/>
        <v>5.5170229301775766</v>
      </c>
      <c r="K410" s="180"/>
      <c r="L410" s="127"/>
      <c r="M410" s="2"/>
      <c r="N410" s="133" t="s">
        <v>7</v>
      </c>
      <c r="O410" s="158">
        <f t="shared" si="1278"/>
        <v>3.24564216361521</v>
      </c>
      <c r="P410" s="158">
        <f t="shared" si="1278"/>
        <v>3.8219433026453302</v>
      </c>
      <c r="Q410" s="158">
        <f t="shared" si="1278"/>
        <v>3.3845958997622709</v>
      </c>
      <c r="R410" s="158">
        <f t="shared" si="1278"/>
        <v>2.0004439991371799</v>
      </c>
      <c r="S410" s="158">
        <f t="shared" si="1278"/>
        <v>1.4950173497564303</v>
      </c>
      <c r="T410" s="158">
        <f t="shared" si="1278"/>
        <v>2.1090315581271586</v>
      </c>
      <c r="U410" s="158">
        <f t="shared" si="1278"/>
        <v>3.9753320904556033</v>
      </c>
      <c r="V410" s="158">
        <f t="shared" si="1283"/>
        <v>4.2569529799966981</v>
      </c>
      <c r="W410" s="180">
        <f t="shared" si="1283"/>
        <v>3.5554803448620684</v>
      </c>
      <c r="X410" s="180"/>
      <c r="Y410" s="147"/>
      <c r="Z410" s="127"/>
    </row>
    <row r="411" spans="1:26" x14ac:dyDescent="0.25">
      <c r="A411" s="133" t="s">
        <v>8</v>
      </c>
      <c r="B411" s="158">
        <f t="shared" ref="B411:G413" si="1291">+B232/B53</f>
        <v>3.2565976651725874</v>
      </c>
      <c r="C411" s="158">
        <f t="shared" si="1291"/>
        <v>3.8146300016134838</v>
      </c>
      <c r="D411" s="158">
        <f t="shared" si="1291"/>
        <v>2.0692772026100936</v>
      </c>
      <c r="E411" s="158">
        <f t="shared" si="1291"/>
        <v>2.1400097191573821</v>
      </c>
      <c r="F411" s="158">
        <f t="shared" si="1291"/>
        <v>1.9177789896326929</v>
      </c>
      <c r="G411" s="158">
        <f t="shared" si="1291"/>
        <v>3.250301791076502</v>
      </c>
      <c r="H411" s="158">
        <f t="shared" si="1287"/>
        <v>3.3220470174756178</v>
      </c>
      <c r="I411" s="158">
        <f t="shared" si="1287"/>
        <v>4.3014462072814963</v>
      </c>
      <c r="J411" s="180">
        <f t="shared" si="1290"/>
        <v>4.4248138879020686</v>
      </c>
      <c r="K411" s="180"/>
      <c r="L411" s="127"/>
      <c r="M411" s="2"/>
      <c r="N411" s="133" t="s">
        <v>8</v>
      </c>
      <c r="O411" s="158">
        <f t="shared" ref="O411:S413" si="1292">+O232/O53</f>
        <v>3.228952650200883</v>
      </c>
      <c r="P411" s="158">
        <f t="shared" si="1292"/>
        <v>3.865728343613315</v>
      </c>
      <c r="Q411" s="158">
        <f t="shared" si="1292"/>
        <v>3.2213099303126747</v>
      </c>
      <c r="R411" s="158">
        <f t="shared" si="1292"/>
        <v>2.0056907367599588</v>
      </c>
      <c r="S411" s="158">
        <f t="shared" si="1292"/>
        <v>1.4867754784607514</v>
      </c>
      <c r="T411" s="158">
        <f t="shared" ref="T411" si="1293">+T232/T53</f>
        <v>2.1944170513676893</v>
      </c>
      <c r="U411" s="158">
        <f t="shared" si="1278"/>
        <v>4.0285609373646629</v>
      </c>
      <c r="V411" s="158">
        <f t="shared" si="1283"/>
        <v>4.3568301180134865</v>
      </c>
      <c r="W411" s="180">
        <f t="shared" si="128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291"/>
        <v>3.48780763278614</v>
      </c>
      <c r="C412" s="158">
        <f t="shared" si="1291"/>
        <v>4.2118215921924396</v>
      </c>
      <c r="D412" s="158">
        <f t="shared" si="1291"/>
        <v>1.5904802026765774</v>
      </c>
      <c r="E412" s="158">
        <f t="shared" si="1291"/>
        <v>1.229996342236124</v>
      </c>
      <c r="F412" s="158">
        <f t="shared" si="1291"/>
        <v>1.2401060692642625</v>
      </c>
      <c r="G412" s="158">
        <f t="shared" si="1291"/>
        <v>3.8213231839608945</v>
      </c>
      <c r="H412" s="158">
        <f t="shared" si="1287"/>
        <v>4.4086781790691889</v>
      </c>
      <c r="I412" s="158">
        <f t="shared" si="1287"/>
        <v>4.7141119221411198</v>
      </c>
      <c r="J412" s="180">
        <f t="shared" si="1290"/>
        <v>3.7502601872207446</v>
      </c>
      <c r="K412" s="180"/>
      <c r="L412" s="127"/>
      <c r="M412" s="2"/>
      <c r="N412" s="133" t="s">
        <v>9</v>
      </c>
      <c r="O412" s="158">
        <f t="shared" si="1292"/>
        <v>3.2671424005819008</v>
      </c>
      <c r="P412" s="158">
        <f t="shared" si="1292"/>
        <v>3.923565540112866</v>
      </c>
      <c r="Q412" s="158">
        <f t="shared" si="1292"/>
        <v>2.858525775919087</v>
      </c>
      <c r="R412" s="158">
        <f t="shared" si="1292"/>
        <v>1.9511555237252025</v>
      </c>
      <c r="S412" s="158">
        <f t="shared" si="1292"/>
        <v>1.4953904424016804</v>
      </c>
      <c r="T412" s="158">
        <f t="shared" ref="T412" si="1294">+T233/T54</f>
        <v>2.4085255870089997</v>
      </c>
      <c r="U412" s="158">
        <f t="shared" si="1278"/>
        <v>4.0835473754622305</v>
      </c>
      <c r="V412" s="158">
        <f t="shared" si="1283"/>
        <v>4.3761658171812181</v>
      </c>
      <c r="W412" s="180">
        <f t="shared" si="128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291"/>
        <v>3.2671424005819012</v>
      </c>
      <c r="C413" s="182">
        <f t="shared" si="1291"/>
        <v>3.923565540112866</v>
      </c>
      <c r="D413" s="182">
        <f t="shared" si="1291"/>
        <v>2.858525775919087</v>
      </c>
      <c r="E413" s="182">
        <f t="shared" si="1291"/>
        <v>1.9511555237252025</v>
      </c>
      <c r="F413" s="182">
        <f t="shared" si="1291"/>
        <v>1.4953904424016804</v>
      </c>
      <c r="G413" s="182">
        <f t="shared" ref="G413:I413" si="1295">+G234/G55</f>
        <v>2.4085255870089997</v>
      </c>
      <c r="H413" s="182">
        <f t="shared" si="1295"/>
        <v>4.0835473754622305</v>
      </c>
      <c r="I413" s="182">
        <f t="shared" si="1295"/>
        <v>4.3761658171812181</v>
      </c>
      <c r="J413" s="183">
        <f t="shared" ref="J413" si="1296">+J234/J55</f>
        <v>3.5355598841461728</v>
      </c>
      <c r="K413" s="183"/>
      <c r="L413" s="137"/>
      <c r="M413" s="3"/>
      <c r="N413" s="134" t="s">
        <v>14</v>
      </c>
      <c r="O413" s="182">
        <f t="shared" si="1292"/>
        <v>3.2380716318547629</v>
      </c>
      <c r="P413" s="182">
        <f t="shared" si="1292"/>
        <v>3.5879782715064956</v>
      </c>
      <c r="Q413" s="182">
        <f t="shared" si="1292"/>
        <v>3.6893939707813792</v>
      </c>
      <c r="R413" s="182">
        <f t="shared" si="1292"/>
        <v>2.1810484297707777</v>
      </c>
      <c r="S413" s="182">
        <f t="shared" si="129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3.8851863208514259</v>
      </c>
      <c r="Y413" s="149">
        <f>+X413/W413-1</f>
        <v>6.1948443101693229E-2</v>
      </c>
      <c r="Z413" s="156">
        <f>+POWER(X413/S413,0.2)-1</f>
        <v>0.18623704151618004</v>
      </c>
    </row>
    <row r="414" spans="1:26" ht="25.5" x14ac:dyDescent="0.25">
      <c r="A414" s="135" t="s">
        <v>15</v>
      </c>
      <c r="B414" s="138">
        <f t="shared" ref="B414:I414" si="1297">+B413/B$539</f>
        <v>1.036980748851636</v>
      </c>
      <c r="C414" s="138">
        <f t="shared" si="1297"/>
        <v>1.0926571234917222</v>
      </c>
      <c r="D414" s="138">
        <f t="shared" si="1297"/>
        <v>0.95135648675373363</v>
      </c>
      <c r="E414" s="138">
        <f t="shared" si="1297"/>
        <v>0.74718637986865211</v>
      </c>
      <c r="F414" s="138">
        <f t="shared" si="1297"/>
        <v>0.7491710688162283</v>
      </c>
      <c r="G414" s="138">
        <f t="shared" si="1297"/>
        <v>0.84202654546093547</v>
      </c>
      <c r="H414" s="138">
        <f t="shared" si="1297"/>
        <v>1.2796491865104951</v>
      </c>
      <c r="I414" s="138">
        <f t="shared" si="1297"/>
        <v>1.2411054442692757</v>
      </c>
      <c r="J414" s="139">
        <f t="shared" ref="J414" si="1298">+J413/J$539</f>
        <v>1.0137595975708213</v>
      </c>
      <c r="K414" s="139"/>
      <c r="L414" s="140"/>
      <c r="M414" s="3"/>
      <c r="N414" s="135" t="s">
        <v>15</v>
      </c>
      <c r="O414" s="138">
        <f t="shared" ref="O414:T414" si="1299">+O413/O$539</f>
        <v>1.0416852365006624</v>
      </c>
      <c r="P414" s="138">
        <f t="shared" si="1299"/>
        <v>1.0648296189705322</v>
      </c>
      <c r="Q414" s="138">
        <f t="shared" si="1299"/>
        <v>1.0732280947846824</v>
      </c>
      <c r="R414" s="138">
        <f t="shared" si="1299"/>
        <v>0.79091697652136939</v>
      </c>
      <c r="S414" s="138">
        <f t="shared" si="1299"/>
        <v>0.78374743986475903</v>
      </c>
      <c r="T414" s="138">
        <f t="shared" si="1299"/>
        <v>0.72811780302220619</v>
      </c>
      <c r="U414" s="138">
        <f t="shared" ref="U414:X414" si="1300">+U413/U$539</f>
        <v>1.0959749449903564</v>
      </c>
      <c r="V414" s="138">
        <f t="shared" si="1300"/>
        <v>1.2413416559046953</v>
      </c>
      <c r="W414" s="139">
        <f t="shared" si="1300"/>
        <v>1.0430871922452289</v>
      </c>
      <c r="X414" s="139">
        <f t="shared" si="1300"/>
        <v>1.1129018933824442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301">+D413/C413-1</f>
        <v>-0.27144691564477907</v>
      </c>
      <c r="E415" s="142">
        <f t="shared" si="1301"/>
        <v>-0.31742594726197371</v>
      </c>
      <c r="F415" s="142">
        <f t="shared" si="1301"/>
        <v>-0.23358726446027345</v>
      </c>
      <c r="G415" s="142">
        <f t="shared" si="1301"/>
        <v>0.61063326253494932</v>
      </c>
      <c r="H415" s="142">
        <f t="shared" si="1301"/>
        <v>0.69545526005116587</v>
      </c>
      <c r="I415" s="142">
        <f t="shared" ref="I415:J415" si="1302">+I413/H413-1</f>
        <v>7.1657902998092382E-2</v>
      </c>
      <c r="J415" s="143">
        <f t="shared" si="130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303">+Q413/P413-1</f>
        <v>2.8265416231827434E-2</v>
      </c>
      <c r="R415" s="142">
        <f t="shared" si="1303"/>
        <v>-0.40883287416744707</v>
      </c>
      <c r="S415" s="142">
        <f t="shared" si="1303"/>
        <v>-0.24161604561186512</v>
      </c>
      <c r="T415" s="142">
        <f t="shared" si="1303"/>
        <v>8.84286037803379E-2</v>
      </c>
      <c r="U415" s="142">
        <f t="shared" si="1303"/>
        <v>0.84110916769852828</v>
      </c>
      <c r="V415" s="142">
        <f t="shared" si="1303"/>
        <v>0.27134430769209539</v>
      </c>
      <c r="W415" s="143">
        <f t="shared" ref="W415" si="1304">+W413/V413-1</f>
        <v>-0.13181694796008658</v>
      </c>
      <c r="X415" s="143">
        <f t="shared" ref="X415" si="1305">+X413/W413-1</f>
        <v>6.1948443101693229E-2</v>
      </c>
      <c r="Y415" s="144"/>
      <c r="Z415" s="145"/>
    </row>
    <row r="416" spans="1:26" ht="15.75" thickBot="1" x14ac:dyDescent="0.3"/>
    <row r="417" spans="1:26" ht="15.75" thickBot="1" x14ac:dyDescent="0.3">
      <c r="A417" s="373" t="s">
        <v>143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144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306">+C418+1</f>
        <v>2018</v>
      </c>
      <c r="E418" s="129">
        <f t="shared" ref="E418" si="1307">+D418+1</f>
        <v>2019</v>
      </c>
      <c r="F418" s="129">
        <f t="shared" ref="F418" si="1308">+E418+1</f>
        <v>2020</v>
      </c>
      <c r="G418" s="129">
        <f t="shared" ref="G418" si="1309">+F418+1</f>
        <v>2021</v>
      </c>
      <c r="H418" s="129">
        <f t="shared" ref="H418" si="1310">+G418+1</f>
        <v>2022</v>
      </c>
      <c r="I418" s="129">
        <f t="shared" ref="I418" si="1311">+H418+1</f>
        <v>2023</v>
      </c>
      <c r="J418" s="130">
        <f t="shared" ref="J418:K418" si="1312">+I418+1</f>
        <v>2024</v>
      </c>
      <c r="K418" s="130">
        <f t="shared" si="131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313">+P418+1</f>
        <v>2018</v>
      </c>
      <c r="R418" s="129">
        <f t="shared" si="1313"/>
        <v>2019</v>
      </c>
      <c r="S418" s="129">
        <f t="shared" si="1313"/>
        <v>2020</v>
      </c>
      <c r="T418" s="129">
        <f t="shared" si="131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314">+B240/B61</f>
        <v>3.8716666383295002</v>
      </c>
      <c r="C419" s="158">
        <f t="shared" si="1314"/>
        <v>3.140753430653592</v>
      </c>
      <c r="D419" s="158">
        <f t="shared" si="1314"/>
        <v>3.8087342958709103</v>
      </c>
      <c r="E419" s="158">
        <f t="shared" si="1314"/>
        <v>3.449707936396806</v>
      </c>
      <c r="F419" s="158">
        <f t="shared" si="1314"/>
        <v>2.9658430932871607</v>
      </c>
      <c r="G419" s="158">
        <f t="shared" si="1314"/>
        <v>3.312726435906364</v>
      </c>
      <c r="H419" s="158">
        <f t="shared" ref="H419:J419" si="1315">+H240/H61</f>
        <v>3.1904686458242022</v>
      </c>
      <c r="I419" s="158">
        <f t="shared" si="1315"/>
        <v>3.2620447206569909</v>
      </c>
      <c r="J419" s="180">
        <f t="shared" si="1315"/>
        <v>3.4193986067469173</v>
      </c>
      <c r="K419" s="180">
        <f t="shared" ref="K419:K424" si="1316">+K240/K61</f>
        <v>3.8810149408288424</v>
      </c>
      <c r="L419" s="127">
        <f t="shared" ref="L419:L424" si="1317">+K419/J419-1</f>
        <v>0.13499927536119838</v>
      </c>
      <c r="M419" s="2"/>
      <c r="N419" s="133" t="s">
        <v>10</v>
      </c>
      <c r="O419" s="158">
        <f t="shared" ref="O419:U430" si="1318">+O240/O61</f>
        <v>3.8240676062425094</v>
      </c>
      <c r="P419" s="158">
        <f t="shared" si="1318"/>
        <v>3.1778579216640108</v>
      </c>
      <c r="Q419" s="158">
        <f t="shared" si="1318"/>
        <v>3.4137126417175763</v>
      </c>
      <c r="R419" s="158">
        <f t="shared" si="1318"/>
        <v>3.4718310226437499</v>
      </c>
      <c r="S419" s="158">
        <f t="shared" si="1318"/>
        <v>3.2576070754456254</v>
      </c>
      <c r="T419" s="158">
        <f t="shared" si="1318"/>
        <v>2.8860430174325251</v>
      </c>
      <c r="U419" s="158">
        <f t="shared" si="1318"/>
        <v>2.9618018208234287</v>
      </c>
      <c r="V419" s="158">
        <f t="shared" ref="V419:X424" si="1319">+V240/V61</f>
        <v>3.0930317522176671</v>
      </c>
      <c r="W419" s="180">
        <f t="shared" si="1319"/>
        <v>3.3527477705183246</v>
      </c>
      <c r="X419" s="180">
        <f t="shared" si="1319"/>
        <v>3.9457548153138315</v>
      </c>
      <c r="Y419" s="147">
        <f t="shared" ref="Y419:Y424" si="1320">+X419/W419-1</f>
        <v>0.17687195261450572</v>
      </c>
      <c r="Z419" s="127">
        <f t="shared" ref="Z419:Z424" si="1321">+POWER(X419/S419,0.2)-1</f>
        <v>3.9073524356282974E-2</v>
      </c>
    </row>
    <row r="420" spans="1:26" x14ac:dyDescent="0.25">
      <c r="A420" s="133" t="s">
        <v>11</v>
      </c>
      <c r="B420" s="158">
        <f t="shared" si="1314"/>
        <v>3.5263820748510311</v>
      </c>
      <c r="C420" s="158">
        <f t="shared" si="1314"/>
        <v>3.1037901576765914</v>
      </c>
      <c r="D420" s="158">
        <f t="shared" si="1314"/>
        <v>3.2729579441775094</v>
      </c>
      <c r="E420" s="158">
        <f t="shared" si="1314"/>
        <v>3.4984316808149774</v>
      </c>
      <c r="F420" s="158">
        <f t="shared" si="1314"/>
        <v>3.2416663062967164</v>
      </c>
      <c r="G420" s="158">
        <f t="shared" si="1314"/>
        <v>3.2408806751394947</v>
      </c>
      <c r="H420" s="158">
        <f t="shared" ref="H420:J420" si="1322">+H241/H62</f>
        <v>2.9667549358871446</v>
      </c>
      <c r="I420" s="158">
        <f t="shared" si="1322"/>
        <v>3.4568005742955941</v>
      </c>
      <c r="J420" s="180">
        <f t="shared" si="1322"/>
        <v>3.4587914407433327</v>
      </c>
      <c r="K420" s="180">
        <f t="shared" si="1316"/>
        <v>3.4523392805132551</v>
      </c>
      <c r="L420" s="127">
        <f t="shared" si="1317"/>
        <v>-1.8654377809755873E-3</v>
      </c>
      <c r="M420" s="2"/>
      <c r="N420" s="133" t="s">
        <v>11</v>
      </c>
      <c r="O420" s="158">
        <f t="shared" si="1318"/>
        <v>3.8367748255262875</v>
      </c>
      <c r="P420" s="158">
        <f t="shared" si="1318"/>
        <v>3.1613951736758872</v>
      </c>
      <c r="Q420" s="158">
        <f t="shared" si="1318"/>
        <v>3.422787453596527</v>
      </c>
      <c r="R420" s="158">
        <f t="shared" si="1318"/>
        <v>3.4844480161993925</v>
      </c>
      <c r="S420" s="158">
        <f t="shared" si="1318"/>
        <v>3.2443135594239219</v>
      </c>
      <c r="T420" s="158">
        <f t="shared" si="1318"/>
        <v>2.8867111985943215</v>
      </c>
      <c r="U420" s="158">
        <f t="shared" si="1318"/>
        <v>2.9499370177169233</v>
      </c>
      <c r="V420" s="158">
        <f t="shared" ref="V420:W430" si="1323">+V241/V62</f>
        <v>3.1242634515522778</v>
      </c>
      <c r="W420" s="180">
        <f t="shared" si="1323"/>
        <v>3.3512167674901101</v>
      </c>
      <c r="X420" s="180">
        <f t="shared" si="1319"/>
        <v>3.9507701955927739</v>
      </c>
      <c r="Y420" s="147">
        <f t="shared" si="1320"/>
        <v>0.17890619130307672</v>
      </c>
      <c r="Z420" s="127">
        <f t="shared" si="1321"/>
        <v>4.0187880595694558E-2</v>
      </c>
    </row>
    <row r="421" spans="1:26" x14ac:dyDescent="0.25">
      <c r="A421" s="133" t="s">
        <v>0</v>
      </c>
      <c r="B421" s="158">
        <f t="shared" si="1314"/>
        <v>3.2764632012710817</v>
      </c>
      <c r="C421" s="158">
        <f t="shared" si="1314"/>
        <v>3.185540565197325</v>
      </c>
      <c r="D421" s="158">
        <f t="shared" si="1314"/>
        <v>3.4016848489694991</v>
      </c>
      <c r="E421" s="158">
        <f t="shared" si="1314"/>
        <v>3.3286381285362041</v>
      </c>
      <c r="F421" s="158">
        <f t="shared" si="1314"/>
        <v>3.214494447691409</v>
      </c>
      <c r="G421" s="158">
        <f t="shared" si="1314"/>
        <v>2.9321236804141426</v>
      </c>
      <c r="H421" s="158">
        <f t="shared" ref="H421:J421" si="1324">+H242/H63</f>
        <v>2.9085195426425208</v>
      </c>
      <c r="I421" s="158">
        <f t="shared" si="1324"/>
        <v>3.0100523998323072</v>
      </c>
      <c r="J421" s="180">
        <f t="shared" si="1324"/>
        <v>10.371422186208228</v>
      </c>
      <c r="K421" s="180">
        <f t="shared" si="1316"/>
        <v>3.6851539633432657</v>
      </c>
      <c r="L421" s="127">
        <f t="shared" si="1317"/>
        <v>-0.64468190599320785</v>
      </c>
      <c r="M421" s="2"/>
      <c r="N421" s="133" t="s">
        <v>0</v>
      </c>
      <c r="O421" s="158">
        <f t="shared" si="1318"/>
        <v>3.7857101356366605</v>
      </c>
      <c r="P421" s="158">
        <f t="shared" si="1318"/>
        <v>3.1550394346946149</v>
      </c>
      <c r="Q421" s="158">
        <f t="shared" si="1318"/>
        <v>3.4342258543217303</v>
      </c>
      <c r="R421" s="158">
        <f t="shared" si="1318"/>
        <v>3.4808252556644268</v>
      </c>
      <c r="S421" s="158">
        <f t="shared" si="1318"/>
        <v>3.2377950267392075</v>
      </c>
      <c r="T421" s="158">
        <f t="shared" si="1318"/>
        <v>2.8787222529847161</v>
      </c>
      <c r="U421" s="158">
        <f t="shared" si="1318"/>
        <v>2.9483353243276067</v>
      </c>
      <c r="V421" s="158">
        <f t="shared" si="1323"/>
        <v>3.1296323912300723</v>
      </c>
      <c r="W421" s="180">
        <f t="shared" si="1323"/>
        <v>3.5826501240491968</v>
      </c>
      <c r="X421" s="180">
        <f t="shared" si="1319"/>
        <v>3.7724071162489992</v>
      </c>
      <c r="Y421" s="147">
        <f t="shared" si="1320"/>
        <v>5.2965538255054234E-2</v>
      </c>
      <c r="Z421" s="127">
        <f t="shared" si="1321"/>
        <v>3.1036026673950223E-2</v>
      </c>
    </row>
    <row r="422" spans="1:26" x14ac:dyDescent="0.25">
      <c r="A422" s="133" t="s">
        <v>1</v>
      </c>
      <c r="B422" s="158">
        <f t="shared" si="1314"/>
        <v>3.472687266813355</v>
      </c>
      <c r="C422" s="158">
        <f t="shared" si="1314"/>
        <v>3.4122466766567388</v>
      </c>
      <c r="D422" s="158">
        <f t="shared" si="1314"/>
        <v>3.5550880581229598</v>
      </c>
      <c r="E422" s="158">
        <f t="shared" si="1314"/>
        <v>3.2075515712543003</v>
      </c>
      <c r="F422" s="158">
        <f t="shared" si="1314"/>
        <v>3.1937715605171455</v>
      </c>
      <c r="G422" s="158">
        <f t="shared" si="1314"/>
        <v>3.1308561083766038</v>
      </c>
      <c r="H422" s="158">
        <f t="shared" ref="H422:J422" si="1325">+H243/H64</f>
        <v>3.189280913237984</v>
      </c>
      <c r="I422" s="158">
        <f t="shared" si="1325"/>
        <v>3.3063351716829628</v>
      </c>
      <c r="J422" s="180">
        <f t="shared" si="1325"/>
        <v>9.8866419386474842</v>
      </c>
      <c r="K422" s="180">
        <f t="shared" si="1316"/>
        <v>3.8543895185640373</v>
      </c>
      <c r="L422" s="127">
        <f t="shared" si="1317"/>
        <v>-0.61014168992031625</v>
      </c>
      <c r="M422" s="2"/>
      <c r="N422" s="133" t="s">
        <v>1</v>
      </c>
      <c r="O422" s="158">
        <f t="shared" si="1318"/>
        <v>3.7540823445728728</v>
      </c>
      <c r="P422" s="158">
        <f t="shared" si="1318"/>
        <v>3.157822616515904</v>
      </c>
      <c r="Q422" s="158">
        <f t="shared" si="1318"/>
        <v>3.4461072228494931</v>
      </c>
      <c r="R422" s="158">
        <f t="shared" si="1318"/>
        <v>3.4489907593065792</v>
      </c>
      <c r="S422" s="158">
        <f t="shared" si="1318"/>
        <v>3.2386148386611584</v>
      </c>
      <c r="T422" s="158">
        <f t="shared" si="1318"/>
        <v>2.8885242569053591</v>
      </c>
      <c r="U422" s="158">
        <f t="shared" si="1318"/>
        <v>2.955354231844447</v>
      </c>
      <c r="V422" s="158">
        <f t="shared" si="1323"/>
        <v>3.1370754532034129</v>
      </c>
      <c r="W422" s="180">
        <f t="shared" ref="W422" si="1326">+W243/W64</f>
        <v>3.8147490485971667</v>
      </c>
      <c r="X422" s="180">
        <f t="shared" si="1319"/>
        <v>3.6181916179531215</v>
      </c>
      <c r="Y422" s="147">
        <f t="shared" si="1320"/>
        <v>-5.1525651658875682E-2</v>
      </c>
      <c r="Z422" s="127">
        <f t="shared" si="1321"/>
        <v>2.2413210577493903E-2</v>
      </c>
    </row>
    <row r="423" spans="1:26" x14ac:dyDescent="0.25">
      <c r="A423" s="133" t="s">
        <v>2</v>
      </c>
      <c r="B423" s="158">
        <f t="shared" si="1314"/>
        <v>3.0916143626581718</v>
      </c>
      <c r="C423" s="158">
        <f t="shared" si="1314"/>
        <v>3.3374576076447315</v>
      </c>
      <c r="D423" s="158">
        <f t="shared" si="1314"/>
        <v>3.9009056972878606</v>
      </c>
      <c r="E423" s="158">
        <f t="shared" si="1314"/>
        <v>3.0994803266518187</v>
      </c>
      <c r="F423" s="158">
        <f t="shared" si="1314"/>
        <v>2.6774203983643647</v>
      </c>
      <c r="G423" s="158">
        <f t="shared" si="1314"/>
        <v>2.8672836095612406</v>
      </c>
      <c r="H423" s="158">
        <f t="shared" ref="H423:J430" si="1327">+H244/H65</f>
        <v>2.8236760566453554</v>
      </c>
      <c r="I423" s="158">
        <f t="shared" si="1327"/>
        <v>3.0638229485599164</v>
      </c>
      <c r="J423" s="180">
        <f t="shared" si="1327"/>
        <v>3.3897984266009269</v>
      </c>
      <c r="K423" s="180">
        <f t="shared" si="1316"/>
        <v>3.4621765490826375</v>
      </c>
      <c r="L423" s="127">
        <f t="shared" si="1317"/>
        <v>2.1351748208310761E-2</v>
      </c>
      <c r="M423" s="2"/>
      <c r="N423" s="133" t="s">
        <v>2</v>
      </c>
      <c r="O423" s="158">
        <f t="shared" si="1318"/>
        <v>3.6599873987155247</v>
      </c>
      <c r="P423" s="158">
        <f t="shared" si="1318"/>
        <v>3.1782996673340596</v>
      </c>
      <c r="Q423" s="158">
        <f t="shared" si="1318"/>
        <v>3.4891835310537336</v>
      </c>
      <c r="R423" s="158">
        <f t="shared" si="1318"/>
        <v>3.3822870328778865</v>
      </c>
      <c r="S423" s="158">
        <f t="shared" si="1318"/>
        <v>3.2020059833198129</v>
      </c>
      <c r="T423" s="158">
        <f t="shared" si="1318"/>
        <v>2.8977987000245933</v>
      </c>
      <c r="U423" s="158">
        <f t="shared" si="1318"/>
        <v>2.9494705438778008</v>
      </c>
      <c r="V423" s="158">
        <f t="shared" si="1323"/>
        <v>3.1627780596060582</v>
      </c>
      <c r="W423" s="180">
        <f t="shared" ref="W423:W427" si="1328">+W244/W65</f>
        <v>3.8370898068033132</v>
      </c>
      <c r="X423" s="180">
        <f t="shared" si="1319"/>
        <v>3.6317709148338388</v>
      </c>
      <c r="Y423" s="147">
        <f t="shared" si="1320"/>
        <v>-5.3509013942138028E-2</v>
      </c>
      <c r="Z423" s="127">
        <f t="shared" si="1321"/>
        <v>2.5508492979298358E-2</v>
      </c>
    </row>
    <row r="424" spans="1:26" x14ac:dyDescent="0.25">
      <c r="A424" s="133" t="s">
        <v>3</v>
      </c>
      <c r="B424" s="158">
        <f t="shared" si="1314"/>
        <v>2.9478928793855097</v>
      </c>
      <c r="C424" s="158">
        <f t="shared" si="1314"/>
        <v>3.2240434790950889</v>
      </c>
      <c r="D424" s="158">
        <f t="shared" si="1314"/>
        <v>3.3524821664692683</v>
      </c>
      <c r="E424" s="158">
        <f t="shared" si="1314"/>
        <v>3.5613365760921645</v>
      </c>
      <c r="F424" s="158">
        <f t="shared" si="1314"/>
        <v>2.8166604670961939</v>
      </c>
      <c r="G424" s="158">
        <f t="shared" si="1314"/>
        <v>2.7641406056270563</v>
      </c>
      <c r="H424" s="158">
        <f t="shared" si="1327"/>
        <v>2.9966452713067104</v>
      </c>
      <c r="I424" s="158">
        <f t="shared" si="1327"/>
        <v>3.3195819569814318</v>
      </c>
      <c r="J424" s="180">
        <f t="shared" si="1327"/>
        <v>3.3102438890024195</v>
      </c>
      <c r="K424" s="180">
        <f t="shared" si="1316"/>
        <v>3.118236821047947</v>
      </c>
      <c r="L424" s="127">
        <f t="shared" si="1317"/>
        <v>-5.8003903758383268E-2</v>
      </c>
      <c r="M424" s="2"/>
      <c r="N424" s="133" t="s">
        <v>3</v>
      </c>
      <c r="O424" s="158">
        <f t="shared" si="1318"/>
        <v>3.5569492516687964</v>
      </c>
      <c r="P424" s="158">
        <f t="shared" si="1318"/>
        <v>3.2007330039977577</v>
      </c>
      <c r="Q424" s="158">
        <f t="shared" si="1318"/>
        <v>3.5014062024571335</v>
      </c>
      <c r="R424" s="158">
        <f t="shared" si="1318"/>
        <v>3.3989553765501466</v>
      </c>
      <c r="S424" s="158">
        <f t="shared" si="1318"/>
        <v>3.135853746207228</v>
      </c>
      <c r="T424" s="158">
        <f t="shared" si="1318"/>
        <v>2.8920788864308995</v>
      </c>
      <c r="U424" s="158">
        <f t="shared" si="1318"/>
        <v>2.9682183400326636</v>
      </c>
      <c r="V424" s="158">
        <f t="shared" si="1323"/>
        <v>3.1864125283243623</v>
      </c>
      <c r="W424" s="180">
        <f t="shared" si="1328"/>
        <v>3.8266397197576421</v>
      </c>
      <c r="X424" s="180">
        <f t="shared" si="1319"/>
        <v>3.6074327532678563</v>
      </c>
      <c r="Y424" s="147">
        <f t="shared" si="1320"/>
        <v>-5.7284453866398799E-2</v>
      </c>
      <c r="Z424" s="127">
        <f t="shared" si="1321"/>
        <v>2.8415204858725396E-2</v>
      </c>
    </row>
    <row r="425" spans="1:26" x14ac:dyDescent="0.25">
      <c r="A425" s="133" t="s">
        <v>4</v>
      </c>
      <c r="B425" s="158">
        <f t="shared" si="1314"/>
        <v>3.1133942816287892</v>
      </c>
      <c r="C425" s="158">
        <f t="shared" si="1314"/>
        <v>3.1410622501427756</v>
      </c>
      <c r="D425" s="158">
        <f t="shared" si="1314"/>
        <v>3.5116215136837448</v>
      </c>
      <c r="E425" s="158">
        <f t="shared" si="1314"/>
        <v>3.0142667420842462</v>
      </c>
      <c r="F425" s="158">
        <f t="shared" si="1314"/>
        <v>2.6308213810021637</v>
      </c>
      <c r="G425" s="158">
        <f t="shared" si="1314"/>
        <v>2.7408811428043083</v>
      </c>
      <c r="H425" s="158">
        <f t="shared" si="1327"/>
        <v>3.098560197344578</v>
      </c>
      <c r="I425" s="158">
        <f t="shared" si="1327"/>
        <v>3.3781063622202656</v>
      </c>
      <c r="J425" s="180">
        <f t="shared" si="1327"/>
        <v>3.6468114234293059</v>
      </c>
      <c r="K425" s="180"/>
      <c r="L425" s="127"/>
      <c r="M425" s="2"/>
      <c r="N425" s="133" t="s">
        <v>4</v>
      </c>
      <c r="O425" s="158">
        <f t="shared" si="1318"/>
        <v>3.486111715773986</v>
      </c>
      <c r="P425" s="158">
        <f t="shared" si="1318"/>
        <v>3.202035838293376</v>
      </c>
      <c r="Q425" s="158">
        <f t="shared" si="1318"/>
        <v>3.5432518238110817</v>
      </c>
      <c r="R425" s="158">
        <f t="shared" si="1318"/>
        <v>3.346784337886846</v>
      </c>
      <c r="S425" s="158">
        <f t="shared" si="1318"/>
        <v>3.0878376274783697</v>
      </c>
      <c r="T425" s="158">
        <f t="shared" si="1318"/>
        <v>2.8977107065963681</v>
      </c>
      <c r="U425" s="158">
        <f t="shared" si="1318"/>
        <v>3.0010423846154031</v>
      </c>
      <c r="V425" s="158">
        <f t="shared" si="1323"/>
        <v>3.2088815883578956</v>
      </c>
      <c r="W425" s="180">
        <f t="shared" si="1328"/>
        <v>3.8463551348086251</v>
      </c>
      <c r="X425" s="180"/>
      <c r="Y425" s="147"/>
      <c r="Z425" s="127"/>
    </row>
    <row r="426" spans="1:26" x14ac:dyDescent="0.25">
      <c r="A426" s="133" t="s">
        <v>5</v>
      </c>
      <c r="B426" s="158">
        <f t="shared" si="1314"/>
        <v>3.2479693906537923</v>
      </c>
      <c r="C426" s="158">
        <f t="shared" si="1314"/>
        <v>3.2738296447906801</v>
      </c>
      <c r="D426" s="158">
        <f t="shared" si="1314"/>
        <v>3.7831768529385217</v>
      </c>
      <c r="E426" s="158">
        <f t="shared" si="1314"/>
        <v>3.7028817804267189</v>
      </c>
      <c r="F426" s="158">
        <f t="shared" si="1314"/>
        <v>2.7115477593479795</v>
      </c>
      <c r="G426" s="158">
        <f t="shared" si="1314"/>
        <v>2.8921621046657369</v>
      </c>
      <c r="H426" s="158">
        <f t="shared" si="1327"/>
        <v>2.8767821302178915</v>
      </c>
      <c r="I426" s="158">
        <f t="shared" si="1327"/>
        <v>3.2858996451728135</v>
      </c>
      <c r="J426" s="180">
        <f t="shared" ref="J426" si="1329">+J247/J68</f>
        <v>3.8717971534225524</v>
      </c>
      <c r="K426" s="180"/>
      <c r="L426" s="127"/>
      <c r="M426" s="2"/>
      <c r="N426" s="133" t="s">
        <v>5</v>
      </c>
      <c r="O426" s="158">
        <f t="shared" si="1318"/>
        <v>3.4316349098909056</v>
      </c>
      <c r="P426" s="158">
        <f t="shared" si="1318"/>
        <v>3.2049074824452721</v>
      </c>
      <c r="Q426" s="158">
        <f t="shared" si="1318"/>
        <v>3.5966588885352313</v>
      </c>
      <c r="R426" s="158">
        <f t="shared" si="1318"/>
        <v>3.3332594751672775</v>
      </c>
      <c r="S426" s="158">
        <f t="shared" si="1318"/>
        <v>2.9899218369475054</v>
      </c>
      <c r="T426" s="158">
        <f t="shared" si="1318"/>
        <v>2.9130118951155208</v>
      </c>
      <c r="U426" s="158">
        <f t="shared" si="1318"/>
        <v>2.9965968486308809</v>
      </c>
      <c r="V426" s="158">
        <f t="shared" si="1323"/>
        <v>3.2554615331821495</v>
      </c>
      <c r="W426" s="180">
        <f t="shared" si="1328"/>
        <v>3.8988172412531963</v>
      </c>
      <c r="X426" s="180"/>
      <c r="Y426" s="147"/>
      <c r="Z426" s="127"/>
    </row>
    <row r="427" spans="1:26" x14ac:dyDescent="0.25">
      <c r="A427" s="133" t="s">
        <v>6</v>
      </c>
      <c r="B427" s="158">
        <f t="shared" si="1314"/>
        <v>2.9521821428745216</v>
      </c>
      <c r="C427" s="158">
        <f t="shared" si="1314"/>
        <v>3.5570330617748951</v>
      </c>
      <c r="D427" s="158">
        <f t="shared" si="1314"/>
        <v>3.373541774255882</v>
      </c>
      <c r="E427" s="158">
        <f t="shared" si="1314"/>
        <v>3.1199126579868599</v>
      </c>
      <c r="F427" s="158">
        <f t="shared" si="1314"/>
        <v>2.9277583395649587</v>
      </c>
      <c r="G427" s="158">
        <f t="shared" si="1314"/>
        <v>2.8475400476523882</v>
      </c>
      <c r="H427" s="158">
        <f t="shared" si="1327"/>
        <v>3.3536657651131709</v>
      </c>
      <c r="I427" s="158">
        <f>+I248/I69</f>
        <v>3.5592542689024085</v>
      </c>
      <c r="J427" s="180">
        <f t="shared" ref="J427:J430" si="1330">+J248/J69</f>
        <v>3.5089154858987306</v>
      </c>
      <c r="K427" s="180"/>
      <c r="L427" s="127"/>
      <c r="M427" s="2"/>
      <c r="N427" s="133" t="s">
        <v>6</v>
      </c>
      <c r="O427" s="158">
        <f t="shared" si="1318"/>
        <v>3.3163423816670741</v>
      </c>
      <c r="P427" s="158">
        <f t="shared" si="1318"/>
        <v>3.2783501395617893</v>
      </c>
      <c r="Q427" s="158">
        <f t="shared" si="1318"/>
        <v>3.5809340160403429</v>
      </c>
      <c r="R427" s="158">
        <f t="shared" si="1318"/>
        <v>3.2997694896419896</v>
      </c>
      <c r="S427" s="158">
        <f t="shared" si="1318"/>
        <v>2.9653050376696006</v>
      </c>
      <c r="T427" s="158">
        <f t="shared" si="1318"/>
        <v>2.9030036498289529</v>
      </c>
      <c r="U427" s="158">
        <f t="shared" si="1318"/>
        <v>3.0518082832972544</v>
      </c>
      <c r="V427" s="158">
        <f t="shared" si="1323"/>
        <v>3.2721289385163139</v>
      </c>
      <c r="W427" s="180">
        <f t="shared" si="1328"/>
        <v>3.8783729405816758</v>
      </c>
      <c r="X427" s="180"/>
      <c r="Y427" s="147"/>
      <c r="Z427" s="127"/>
    </row>
    <row r="428" spans="1:26" x14ac:dyDescent="0.25">
      <c r="A428" s="133" t="s">
        <v>7</v>
      </c>
      <c r="B428" s="158">
        <f t="shared" si="1314"/>
        <v>3.2574563832645969</v>
      </c>
      <c r="C428" s="158">
        <f t="shared" si="1314"/>
        <v>3.4098434147361392</v>
      </c>
      <c r="D428" s="158">
        <f t="shared" si="1314"/>
        <v>3.1767301871797908</v>
      </c>
      <c r="E428" s="158">
        <f t="shared" si="1314"/>
        <v>3.3801377351080122</v>
      </c>
      <c r="F428" s="158">
        <f t="shared" si="1314"/>
        <v>2.6641715146793312</v>
      </c>
      <c r="G428" s="158">
        <f t="shared" si="1314"/>
        <v>3.0560723827207776</v>
      </c>
      <c r="H428" s="158">
        <f t="shared" si="1327"/>
        <v>2.9675896541249585</v>
      </c>
      <c r="I428" s="158">
        <f t="shared" si="1327"/>
        <v>3.5364399730342431</v>
      </c>
      <c r="J428" s="180">
        <f t="shared" si="1330"/>
        <v>3.9003175765750613</v>
      </c>
      <c r="K428" s="180"/>
      <c r="L428" s="127"/>
      <c r="M428" s="2"/>
      <c r="N428" s="133" t="s">
        <v>7</v>
      </c>
      <c r="O428" s="158">
        <f t="shared" si="1318"/>
        <v>3.2720267504942706</v>
      </c>
      <c r="P428" s="158">
        <f t="shared" si="1318"/>
        <v>3.2938127478956742</v>
      </c>
      <c r="Q428" s="158">
        <f t="shared" si="1318"/>
        <v>3.5624952674623485</v>
      </c>
      <c r="R428" s="158">
        <f t="shared" si="1318"/>
        <v>3.3192191634873214</v>
      </c>
      <c r="S428" s="158">
        <f t="shared" si="1318"/>
        <v>2.879640473756151</v>
      </c>
      <c r="T428" s="158">
        <f t="shared" si="1318"/>
        <v>2.9458872482817697</v>
      </c>
      <c r="U428" s="158">
        <f t="shared" si="1318"/>
        <v>3.0416728954680075</v>
      </c>
      <c r="V428" s="158">
        <f t="shared" si="1323"/>
        <v>3.336282657377835</v>
      </c>
      <c r="W428" s="180">
        <f t="shared" si="1323"/>
        <v>3.9141748673182728</v>
      </c>
      <c r="X428" s="180"/>
      <c r="Y428" s="147"/>
      <c r="Z428" s="127"/>
    </row>
    <row r="429" spans="1:26" x14ac:dyDescent="0.25">
      <c r="A429" s="133" t="s">
        <v>8</v>
      </c>
      <c r="B429" s="158">
        <f t="shared" ref="B429:G431" si="1331">+B250/B71</f>
        <v>3.3060518174007401</v>
      </c>
      <c r="C429" s="158">
        <f t="shared" si="1331"/>
        <v>3.9543129259644925</v>
      </c>
      <c r="D429" s="158">
        <f t="shared" si="1331"/>
        <v>3.1284114126487212</v>
      </c>
      <c r="E429" s="158">
        <f t="shared" si="1331"/>
        <v>3.190347940503758</v>
      </c>
      <c r="F429" s="158">
        <f t="shared" si="1331"/>
        <v>3.0223750288818891</v>
      </c>
      <c r="G429" s="158">
        <f t="shared" si="1331"/>
        <v>3.0106090637609637</v>
      </c>
      <c r="H429" s="158">
        <f t="shared" si="1327"/>
        <v>3.4174363422870058</v>
      </c>
      <c r="I429" s="158">
        <f t="shared" si="1327"/>
        <v>3.6192821064396332</v>
      </c>
      <c r="J429" s="180">
        <f t="shared" si="1330"/>
        <v>3.4820162674427286</v>
      </c>
      <c r="K429" s="180"/>
      <c r="L429" s="127"/>
      <c r="M429" s="2"/>
      <c r="N429" s="133" t="s">
        <v>8</v>
      </c>
      <c r="O429" s="158">
        <f t="shared" ref="O429:S431" si="1332">+O250/O71</f>
        <v>3.2489381762017384</v>
      </c>
      <c r="P429" s="158">
        <f t="shared" si="1332"/>
        <v>3.3430027266519851</v>
      </c>
      <c r="Q429" s="158">
        <f t="shared" si="1332"/>
        <v>3.493524177603144</v>
      </c>
      <c r="R429" s="158">
        <f t="shared" si="1332"/>
        <v>3.3190970117475573</v>
      </c>
      <c r="S429" s="158">
        <f t="shared" si="1332"/>
        <v>2.8709732237604944</v>
      </c>
      <c r="T429" s="158">
        <f t="shared" ref="T429" si="1333">+T250/T71</f>
        <v>2.9427892038392098</v>
      </c>
      <c r="U429" s="158">
        <f t="shared" si="1318"/>
        <v>3.0761606930145455</v>
      </c>
      <c r="V429" s="158">
        <f t="shared" si="1323"/>
        <v>3.3498676754742704</v>
      </c>
      <c r="W429" s="180">
        <f t="shared" si="132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331"/>
        <v>3.1717093021646328</v>
      </c>
      <c r="C430" s="158">
        <f t="shared" si="1331"/>
        <v>3.7028759034153231</v>
      </c>
      <c r="D430" s="158">
        <f t="shared" si="1331"/>
        <v>3.6445578184442722</v>
      </c>
      <c r="E430" s="158">
        <f t="shared" si="1331"/>
        <v>3.0972542244824472</v>
      </c>
      <c r="F430" s="158">
        <f t="shared" si="1331"/>
        <v>2.8704590155839811</v>
      </c>
      <c r="G430" s="158">
        <f t="shared" si="1331"/>
        <v>3.271640873200012</v>
      </c>
      <c r="H430" s="158">
        <f t="shared" si="1327"/>
        <v>3.4999403887667073</v>
      </c>
      <c r="I430" s="158">
        <f t="shared" si="1327"/>
        <v>3.3690432400853778</v>
      </c>
      <c r="J430" s="180">
        <f t="shared" si="1330"/>
        <v>3.6246520150050863</v>
      </c>
      <c r="K430" s="180"/>
      <c r="L430" s="127"/>
      <c r="M430" s="2"/>
      <c r="N430" s="133" t="s">
        <v>9</v>
      </c>
      <c r="O430" s="158">
        <f t="shared" si="1332"/>
        <v>3.1993495900147138</v>
      </c>
      <c r="P430" s="158">
        <f t="shared" si="1332"/>
        <v>3.3771368418547327</v>
      </c>
      <c r="Q430" s="158">
        <f t="shared" si="1332"/>
        <v>3.4933016850686487</v>
      </c>
      <c r="R430" s="158">
        <f t="shared" si="1332"/>
        <v>3.2752542133579765</v>
      </c>
      <c r="S430" s="158">
        <f t="shared" si="1332"/>
        <v>2.8576215862364256</v>
      </c>
      <c r="T430" s="158">
        <f t="shared" ref="T430" si="1334">+T251/T72</f>
        <v>2.9723943994175839</v>
      </c>
      <c r="U430" s="158">
        <f t="shared" si="1318"/>
        <v>3.0849144983767811</v>
      </c>
      <c r="V430" s="158">
        <f t="shared" si="1323"/>
        <v>3.3426583485873711</v>
      </c>
      <c r="W430" s="180">
        <f t="shared" si="132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331"/>
        <v>3.1993495900147133</v>
      </c>
      <c r="C431" s="182">
        <f t="shared" si="1331"/>
        <v>3.3771368418547327</v>
      </c>
      <c r="D431" s="182">
        <f t="shared" si="1331"/>
        <v>3.4933016850686487</v>
      </c>
      <c r="E431" s="182">
        <f t="shared" si="1331"/>
        <v>3.2752542133579765</v>
      </c>
      <c r="F431" s="182">
        <f t="shared" si="1331"/>
        <v>2.8576215862364256</v>
      </c>
      <c r="G431" s="182">
        <f t="shared" ref="G431:I431" si="1335">+G252/G73</f>
        <v>2.9723943994175839</v>
      </c>
      <c r="H431" s="182">
        <f t="shared" si="1335"/>
        <v>3.0849144983767811</v>
      </c>
      <c r="I431" s="182">
        <f t="shared" si="1335"/>
        <v>3.3426583485873711</v>
      </c>
      <c r="J431" s="183">
        <f t="shared" ref="J431" si="1336">+J252/J73</f>
        <v>3.924912352830582</v>
      </c>
      <c r="K431" s="183"/>
      <c r="L431" s="137"/>
      <c r="M431" s="3"/>
      <c r="N431" s="134" t="s">
        <v>14</v>
      </c>
      <c r="O431" s="182">
        <f t="shared" si="1332"/>
        <v>3.5188431173126595</v>
      </c>
      <c r="P431" s="182">
        <f t="shared" si="1332"/>
        <v>3.2291435197130429</v>
      </c>
      <c r="Q431" s="182">
        <f t="shared" si="1332"/>
        <v>3.4972783824534814</v>
      </c>
      <c r="R431" s="182">
        <f t="shared" si="1332"/>
        <v>3.3778103152517969</v>
      </c>
      <c r="S431" s="182">
        <f t="shared" si="13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3.7495733993734288</v>
      </c>
      <c r="Y431" s="149">
        <f>+X431/W431-1</f>
        <v>-2.4862196154458172E-3</v>
      </c>
      <c r="Z431" s="156">
        <f>+POWER(X431/S431,0.2)-1</f>
        <v>4.1112273003255817E-2</v>
      </c>
    </row>
    <row r="432" spans="1:26" ht="25.5" x14ac:dyDescent="0.25">
      <c r="A432" s="135" t="s">
        <v>15</v>
      </c>
      <c r="B432" s="138">
        <f t="shared" ref="B432:I432" si="1337">+B431/B$539</f>
        <v>1.0154635234450549</v>
      </c>
      <c r="C432" s="138">
        <f t="shared" si="1337"/>
        <v>0.94048451326564619</v>
      </c>
      <c r="D432" s="138">
        <f t="shared" si="1337"/>
        <v>1.1626185939181395</v>
      </c>
      <c r="E432" s="138">
        <f t="shared" si="1337"/>
        <v>1.254244117945136</v>
      </c>
      <c r="F432" s="138">
        <f t="shared" si="1337"/>
        <v>1.4316310692709449</v>
      </c>
      <c r="G432" s="138">
        <f t="shared" si="1337"/>
        <v>1.0391564870179093</v>
      </c>
      <c r="H432" s="138">
        <f t="shared" si="1337"/>
        <v>0.96671054975955473</v>
      </c>
      <c r="I432" s="138">
        <f t="shared" si="1337"/>
        <v>0.94799686485283341</v>
      </c>
      <c r="J432" s="139">
        <f t="shared" ref="J432" si="1338">+J431/J$539</f>
        <v>1.1253995682969951</v>
      </c>
      <c r="K432" s="139"/>
      <c r="L432" s="140"/>
      <c r="M432" s="3"/>
      <c r="N432" s="135" t="s">
        <v>15</v>
      </c>
      <c r="O432" s="138">
        <f t="shared" ref="O432:T432" si="1339">+O431/O$539</f>
        <v>1.1320092146222711</v>
      </c>
      <c r="P432" s="138">
        <f t="shared" si="1339"/>
        <v>0.95833569868679125</v>
      </c>
      <c r="Q432" s="138">
        <f t="shared" si="1339"/>
        <v>1.0173425351311223</v>
      </c>
      <c r="R432" s="138">
        <f t="shared" si="1339"/>
        <v>1.224900596124048</v>
      </c>
      <c r="S432" s="138">
        <f t="shared" si="1339"/>
        <v>1.4524985890266913</v>
      </c>
      <c r="T432" s="138">
        <f t="shared" si="1339"/>
        <v>1.1767639089466508</v>
      </c>
      <c r="U432" s="138">
        <f t="shared" ref="U432:X432" si="1340">+U431/U$539</f>
        <v>0.99160354497944769</v>
      </c>
      <c r="V432" s="138">
        <f t="shared" si="1340"/>
        <v>0.94629505404209735</v>
      </c>
      <c r="W432" s="139">
        <f t="shared" si="1340"/>
        <v>1.0717047358799718</v>
      </c>
      <c r="X432" s="139">
        <f t="shared" si="1340"/>
        <v>1.0740559115900155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341">+D431/C431-1</f>
        <v>3.4397434469998434E-2</v>
      </c>
      <c r="E433" s="142">
        <f t="shared" si="1341"/>
        <v>-6.2418734872704551E-2</v>
      </c>
      <c r="F433" s="142">
        <f t="shared" si="1341"/>
        <v>-0.12751151511179049</v>
      </c>
      <c r="G433" s="142">
        <f t="shared" si="1341"/>
        <v>4.0163754968101761E-2</v>
      </c>
      <c r="H433" s="142">
        <f t="shared" si="1341"/>
        <v>3.7855036660426E-2</v>
      </c>
      <c r="I433" s="142">
        <f t="shared" ref="I433:J433" si="1342">+I431/H431-1</f>
        <v>8.3549754894733486E-2</v>
      </c>
      <c r="J433" s="143">
        <f t="shared" si="13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343">+Q431/P431-1</f>
        <v>8.303590754128698E-2</v>
      </c>
      <c r="R433" s="142">
        <f t="shared" si="1343"/>
        <v>-3.4160296704168314E-2</v>
      </c>
      <c r="S433" s="142">
        <f t="shared" si="1343"/>
        <v>-9.2474637083288513E-2</v>
      </c>
      <c r="T433" s="142">
        <f t="shared" si="1343"/>
        <v>-5.0821149600911331E-2</v>
      </c>
      <c r="U433" s="142">
        <f t="shared" si="1343"/>
        <v>3.069292554561498E-2</v>
      </c>
      <c r="V433" s="142">
        <f t="shared" si="1343"/>
        <v>7.1176358383516547E-2</v>
      </c>
      <c r="W433" s="143">
        <f t="shared" ref="W433" si="1344">+W431/V431-1</f>
        <v>0.17012053158661966</v>
      </c>
      <c r="X433" s="143">
        <f t="shared" ref="X433" si="1345">+X431/W431-1</f>
        <v>-2.4862196154458172E-3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73" t="s">
        <v>145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146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346">+C436+1</f>
        <v>2018</v>
      </c>
      <c r="E436" s="129">
        <f t="shared" ref="E436" si="1347">+D436+1</f>
        <v>2019</v>
      </c>
      <c r="F436" s="129">
        <f t="shared" ref="F436" si="1348">+E436+1</f>
        <v>2020</v>
      </c>
      <c r="G436" s="129">
        <f t="shared" ref="G436" si="1349">+F436+1</f>
        <v>2021</v>
      </c>
      <c r="H436" s="129">
        <f t="shared" ref="H436" si="1350">+G436+1</f>
        <v>2022</v>
      </c>
      <c r="I436" s="129">
        <f t="shared" ref="I436" si="1351">+H436+1</f>
        <v>2023</v>
      </c>
      <c r="J436" s="130">
        <f t="shared" ref="J436:K436" si="1352">+I436+1</f>
        <v>2024</v>
      </c>
      <c r="K436" s="130">
        <f t="shared" si="13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353">+P436+1</f>
        <v>2018</v>
      </c>
      <c r="R436" s="129">
        <f t="shared" si="1353"/>
        <v>2019</v>
      </c>
      <c r="S436" s="129">
        <f t="shared" si="1353"/>
        <v>2020</v>
      </c>
      <c r="T436" s="129">
        <f t="shared" si="13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354">+B258/B79</f>
        <v>3.2118224008578018</v>
      </c>
      <c r="C437" s="158">
        <f t="shared" si="1354"/>
        <v>3.1407083137145109</v>
      </c>
      <c r="D437" s="158">
        <f t="shared" si="1354"/>
        <v>3.5576062922581824</v>
      </c>
      <c r="E437" s="158">
        <f t="shared" si="1354"/>
        <v>3.4814801305783014</v>
      </c>
      <c r="F437" s="158">
        <f t="shared" si="1354"/>
        <v>3.4559064803903978</v>
      </c>
      <c r="G437" s="158">
        <f t="shared" si="1354"/>
        <v>4.4574001630238813</v>
      </c>
      <c r="H437" s="158">
        <f t="shared" ref="H437:J437" si="1355">+H258/H79</f>
        <v>3.6135307734514255</v>
      </c>
      <c r="I437" s="158">
        <f t="shared" si="1355"/>
        <v>3.7226971939942901</v>
      </c>
      <c r="J437" s="180">
        <f t="shared" si="1355"/>
        <v>3.9691521696954024</v>
      </c>
      <c r="K437" s="180">
        <f t="shared" ref="K437:K442" si="1356">+K258/K79</f>
        <v>3.547483618433291</v>
      </c>
      <c r="L437" s="127">
        <f t="shared" ref="L437:L442" si="1357">+K437/J437-1</f>
        <v>-0.10623642864628968</v>
      </c>
      <c r="M437" s="2"/>
      <c r="N437" s="133" t="s">
        <v>10</v>
      </c>
      <c r="O437" s="158">
        <f t="shared" ref="O437:U444" si="1358">+O258/O79</f>
        <v>2.9688107183055195</v>
      </c>
      <c r="P437" s="158">
        <f t="shared" si="1358"/>
        <v>3.0860755425598625</v>
      </c>
      <c r="Q437" s="158">
        <f t="shared" si="1358"/>
        <v>3.4443962171964189</v>
      </c>
      <c r="R437" s="158">
        <f t="shared" si="1358"/>
        <v>3.6826780676962239</v>
      </c>
      <c r="S437" s="158">
        <f t="shared" si="1358"/>
        <v>3.6110869664373739</v>
      </c>
      <c r="T437" s="158">
        <f t="shared" si="1358"/>
        <v>3.6255178874062217</v>
      </c>
      <c r="U437" s="158">
        <f t="shared" si="1358"/>
        <v>3.8837201374824648</v>
      </c>
      <c r="V437" s="158">
        <f t="shared" ref="V437:X442" si="1359">+V258/V79</f>
        <v>3.5131642649502939</v>
      </c>
      <c r="W437" s="180">
        <f t="shared" si="1359"/>
        <v>3.9900332344340579</v>
      </c>
      <c r="X437" s="180">
        <f t="shared" si="1359"/>
        <v>3.687847210134485</v>
      </c>
      <c r="Y437" s="147">
        <f t="shared" ref="Y437:Y442" si="1360">+X437/W437-1</f>
        <v>-7.573521485778667E-2</v>
      </c>
      <c r="Z437" s="127">
        <f t="shared" ref="Z437:Z442" si="1361">+POWER(X437/S437,0.2)-1</f>
        <v>4.2156710773502137E-3</v>
      </c>
    </row>
    <row r="438" spans="1:26" x14ac:dyDescent="0.25">
      <c r="A438" s="133" t="s">
        <v>11</v>
      </c>
      <c r="B438" s="158">
        <f t="shared" si="1354"/>
        <v>2.5890582929550217</v>
      </c>
      <c r="C438" s="158">
        <f t="shared" si="1354"/>
        <v>2.7719247823233957</v>
      </c>
      <c r="D438" s="158">
        <f t="shared" si="1354"/>
        <v>3.3889436099482886</v>
      </c>
      <c r="E438" s="158">
        <f t="shared" si="1354"/>
        <v>3.6720389533861946</v>
      </c>
      <c r="F438" s="158">
        <f t="shared" si="1354"/>
        <v>3.6038347401458983</v>
      </c>
      <c r="G438" s="158">
        <f t="shared" si="1354"/>
        <v>3.7973244400651835</v>
      </c>
      <c r="H438" s="158">
        <f t="shared" ref="H438:J438" si="1362">+H259/H80</f>
        <v>3.7330575579101364</v>
      </c>
      <c r="I438" s="158">
        <f t="shared" si="1362"/>
        <v>3.8847839454958955</v>
      </c>
      <c r="J438" s="180">
        <f t="shared" si="1362"/>
        <v>3.2435499510926866</v>
      </c>
      <c r="K438" s="180">
        <f t="shared" si="1356"/>
        <v>3.6255399145088738</v>
      </c>
      <c r="L438" s="127">
        <f t="shared" si="1357"/>
        <v>0.11776910150173658</v>
      </c>
      <c r="M438" s="2"/>
      <c r="N438" s="133" t="s">
        <v>11</v>
      </c>
      <c r="O438" s="158">
        <f t="shared" si="1358"/>
        <v>2.9450489779244209</v>
      </c>
      <c r="P438" s="158">
        <f t="shared" si="1358"/>
        <v>3.1020064662961087</v>
      </c>
      <c r="Q438" s="158">
        <f t="shared" si="1358"/>
        <v>3.4847797742267943</v>
      </c>
      <c r="R438" s="158">
        <f t="shared" si="1358"/>
        <v>3.7083387048836407</v>
      </c>
      <c r="S438" s="158">
        <f t="shared" si="1358"/>
        <v>3.6063194785929662</v>
      </c>
      <c r="T438" s="158">
        <f t="shared" si="1358"/>
        <v>3.6408037862224432</v>
      </c>
      <c r="U438" s="158">
        <f t="shared" si="1358"/>
        <v>3.8797634373934429</v>
      </c>
      <c r="V438" s="158">
        <f t="shared" ref="V438:W448" si="1363">+V259/V80</f>
        <v>3.5120051849030993</v>
      </c>
      <c r="W438" s="180">
        <f t="shared" si="1363"/>
        <v>3.9286220424347169</v>
      </c>
      <c r="X438" s="180">
        <f t="shared" si="1359"/>
        <v>3.7216817679801171</v>
      </c>
      <c r="Y438" s="147">
        <f t="shared" si="1360"/>
        <v>-5.2675027584570322E-2</v>
      </c>
      <c r="Z438" s="127">
        <f t="shared" si="1361"/>
        <v>6.3174589040506657E-3</v>
      </c>
    </row>
    <row r="439" spans="1:26" x14ac:dyDescent="0.25">
      <c r="A439" s="133" t="s">
        <v>0</v>
      </c>
      <c r="B439" s="158">
        <f t="shared" si="1354"/>
        <v>2.8102180002798307</v>
      </c>
      <c r="C439" s="158">
        <f t="shared" si="1354"/>
        <v>2.9323427126146062</v>
      </c>
      <c r="D439" s="158">
        <f t="shared" si="1354"/>
        <v>3.5209664746199469</v>
      </c>
      <c r="E439" s="158">
        <f t="shared" si="1354"/>
        <v>3.3718002823173312</v>
      </c>
      <c r="F439" s="158">
        <f t="shared" si="1354"/>
        <v>3.352720544467473</v>
      </c>
      <c r="G439" s="158">
        <f t="shared" si="1354"/>
        <v>3.4979696327683616</v>
      </c>
      <c r="H439" s="158">
        <f t="shared" ref="H439:J439" si="1364">+H260/H81</f>
        <v>3.4482938918924568</v>
      </c>
      <c r="I439" s="158">
        <f t="shared" si="1364"/>
        <v>3.4229682665431009</v>
      </c>
      <c r="J439" s="180">
        <f t="shared" si="1364"/>
        <v>3.6410605710654114</v>
      </c>
      <c r="K439" s="180">
        <f t="shared" si="1356"/>
        <v>3.5315254185011837</v>
      </c>
      <c r="L439" s="127">
        <f t="shared" si="1357"/>
        <v>-3.0083309636394384E-2</v>
      </c>
      <c r="M439" s="2"/>
      <c r="N439" s="133" t="s">
        <v>0</v>
      </c>
      <c r="O439" s="158">
        <f t="shared" si="1358"/>
        <v>2.9381786237710585</v>
      </c>
      <c r="P439" s="158">
        <f t="shared" si="1358"/>
        <v>3.1153140996630264</v>
      </c>
      <c r="Q439" s="158">
        <f t="shared" si="1358"/>
        <v>3.5455978818201142</v>
      </c>
      <c r="R439" s="158">
        <f t="shared" si="1358"/>
        <v>3.6899284739390716</v>
      </c>
      <c r="S439" s="158">
        <f t="shared" si="1358"/>
        <v>3.6091578708445726</v>
      </c>
      <c r="T439" s="158">
        <f t="shared" si="1358"/>
        <v>3.6475956542726085</v>
      </c>
      <c r="U439" s="158">
        <f t="shared" si="1358"/>
        <v>3.8972580341420215</v>
      </c>
      <c r="V439" s="158">
        <f t="shared" si="1363"/>
        <v>3.5086353214876489</v>
      </c>
      <c r="W439" s="180">
        <f t="shared" si="1363"/>
        <v>3.9426469792446106</v>
      </c>
      <c r="X439" s="180">
        <f t="shared" si="1359"/>
        <v>3.7180304489409459</v>
      </c>
      <c r="Y439" s="147">
        <f t="shared" si="1360"/>
        <v>-5.6970997273182222E-2</v>
      </c>
      <c r="Z439" s="127">
        <f t="shared" si="1361"/>
        <v>5.9616222591989398E-3</v>
      </c>
    </row>
    <row r="440" spans="1:26" x14ac:dyDescent="0.25">
      <c r="A440" s="133" t="s">
        <v>1</v>
      </c>
      <c r="B440" s="158">
        <f t="shared" si="1354"/>
        <v>3.3755781428811105</v>
      </c>
      <c r="C440" s="158">
        <f t="shared" si="1354"/>
        <v>3.4345152427057437</v>
      </c>
      <c r="D440" s="158">
        <f t="shared" si="1354"/>
        <v>3.5358698521205167</v>
      </c>
      <c r="E440" s="158">
        <f t="shared" si="1354"/>
        <v>3.5410991486429695</v>
      </c>
      <c r="F440" s="158">
        <f t="shared" si="1354"/>
        <v>3.5475673700019232</v>
      </c>
      <c r="G440" s="158">
        <f t="shared" si="1354"/>
        <v>3.5444211427071144</v>
      </c>
      <c r="H440" s="158">
        <f t="shared" ref="H440:J440" si="1365">+H261/H82</f>
        <v>3.4517203822928546</v>
      </c>
      <c r="I440" s="158">
        <f t="shared" si="1365"/>
        <v>4.3712636925947681</v>
      </c>
      <c r="J440" s="180">
        <f t="shared" si="1365"/>
        <v>3.4041675263049309</v>
      </c>
      <c r="K440" s="180">
        <f t="shared" si="1356"/>
        <v>3.7608697257370984</v>
      </c>
      <c r="L440" s="127">
        <f t="shared" si="1357"/>
        <v>0.10478397337258882</v>
      </c>
      <c r="M440" s="2"/>
      <c r="N440" s="133" t="s">
        <v>1</v>
      </c>
      <c r="O440" s="158">
        <f t="shared" si="1358"/>
        <v>2.983656167630186</v>
      </c>
      <c r="P440" s="158">
        <f t="shared" si="1358"/>
        <v>3.1087734190905612</v>
      </c>
      <c r="Q440" s="158">
        <f t="shared" si="1358"/>
        <v>3.5549213919613361</v>
      </c>
      <c r="R440" s="158">
        <f t="shared" si="1358"/>
        <v>3.6962595203502211</v>
      </c>
      <c r="S440" s="158">
        <f t="shared" si="1358"/>
        <v>3.6086400894842914</v>
      </c>
      <c r="T440" s="158">
        <f t="shared" si="1358"/>
        <v>3.6468956775310679</v>
      </c>
      <c r="U440" s="158">
        <f t="shared" si="1358"/>
        <v>3.8777131161312983</v>
      </c>
      <c r="V440" s="158">
        <f t="shared" si="1363"/>
        <v>3.5543776655107817</v>
      </c>
      <c r="W440" s="180">
        <f t="shared" ref="W440" si="1366">+W261/W82</f>
        <v>3.8833616031564131</v>
      </c>
      <c r="X440" s="180">
        <f t="shared" si="1359"/>
        <v>3.7431707827811875</v>
      </c>
      <c r="Y440" s="147">
        <f t="shared" si="1360"/>
        <v>-3.6100377637065195E-2</v>
      </c>
      <c r="Z440" s="127">
        <f t="shared" si="1361"/>
        <v>7.3472717713607416E-3</v>
      </c>
    </row>
    <row r="441" spans="1:26" x14ac:dyDescent="0.25">
      <c r="A441" s="133" t="s">
        <v>2</v>
      </c>
      <c r="B441" s="158">
        <f t="shared" si="1354"/>
        <v>3.1366512372720972</v>
      </c>
      <c r="C441" s="158">
        <f t="shared" si="1354"/>
        <v>2.9981825688675201</v>
      </c>
      <c r="D441" s="158">
        <f t="shared" si="1354"/>
        <v>3.816829252475844</v>
      </c>
      <c r="E441" s="158">
        <f t="shared" si="1354"/>
        <v>3.2252852018227065</v>
      </c>
      <c r="F441" s="158">
        <f t="shared" si="1354"/>
        <v>3.3170084737890533</v>
      </c>
      <c r="G441" s="158">
        <f t="shared" si="1354"/>
        <v>3.4799205985646662</v>
      </c>
      <c r="H441" s="158">
        <f t="shared" ref="H441:J448" si="1367">+H262/H83</f>
        <v>3.7258394516954532</v>
      </c>
      <c r="I441" s="158">
        <f t="shared" si="1367"/>
        <v>4.177755685070947</v>
      </c>
      <c r="J441" s="180">
        <f t="shared" si="1367"/>
        <v>3.6000070039046768</v>
      </c>
      <c r="K441" s="180">
        <f t="shared" si="1356"/>
        <v>4.5423202699904195</v>
      </c>
      <c r="L441" s="127">
        <f t="shared" si="1357"/>
        <v>0.26175317577540302</v>
      </c>
      <c r="M441" s="2"/>
      <c r="N441" s="133" t="s">
        <v>2</v>
      </c>
      <c r="O441" s="158">
        <f t="shared" si="1358"/>
        <v>2.9801578591402516</v>
      </c>
      <c r="P441" s="158">
        <f t="shared" si="1358"/>
        <v>3.1010867156240707</v>
      </c>
      <c r="Q441" s="158">
        <f t="shared" si="1358"/>
        <v>3.6008313942822454</v>
      </c>
      <c r="R441" s="158">
        <f t="shared" si="1358"/>
        <v>3.6608778526365517</v>
      </c>
      <c r="S441" s="158">
        <f t="shared" si="1358"/>
        <v>3.6021059593924418</v>
      </c>
      <c r="T441" s="158">
        <f t="shared" si="1358"/>
        <v>3.6644626113056362</v>
      </c>
      <c r="U441" s="158">
        <f t="shared" si="1358"/>
        <v>3.9070606133186385</v>
      </c>
      <c r="V441" s="158">
        <f t="shared" si="1363"/>
        <v>3.576663083228397</v>
      </c>
      <c r="W441" s="180">
        <f t="shared" ref="W441:W445" si="1368">+W262/W83</f>
        <v>3.8360707084202263</v>
      </c>
      <c r="X441" s="180">
        <f t="shared" si="1359"/>
        <v>3.8270786845904556</v>
      </c>
      <c r="Y441" s="147">
        <f t="shared" si="1360"/>
        <v>-2.3440714505165161E-3</v>
      </c>
      <c r="Z441" s="127">
        <f t="shared" si="1361"/>
        <v>1.2190324322036261E-2</v>
      </c>
    </row>
    <row r="442" spans="1:26" x14ac:dyDescent="0.25">
      <c r="A442" s="133" t="s">
        <v>3</v>
      </c>
      <c r="B442" s="158">
        <f t="shared" si="1354"/>
        <v>2.6527216543855476</v>
      </c>
      <c r="C442" s="158">
        <f t="shared" si="1354"/>
        <v>3.2001536489018774</v>
      </c>
      <c r="D442" s="158">
        <f t="shared" si="1354"/>
        <v>3.683642757437362</v>
      </c>
      <c r="E442" s="158">
        <f t="shared" si="1354"/>
        <v>3.8496736682321093</v>
      </c>
      <c r="F442" s="158">
        <f t="shared" si="1354"/>
        <v>3.1348392828454399</v>
      </c>
      <c r="G442" s="158">
        <f t="shared" si="1354"/>
        <v>4.3058253719030262</v>
      </c>
      <c r="H442" s="158">
        <f t="shared" si="1367"/>
        <v>3.3739151643259278</v>
      </c>
      <c r="I442" s="158">
        <f t="shared" si="1367"/>
        <v>3.8607323886044473</v>
      </c>
      <c r="J442" s="180">
        <f t="shared" si="1367"/>
        <v>3.901690422489362</v>
      </c>
      <c r="K442" s="180">
        <f t="shared" si="1356"/>
        <v>5.3146490203710908</v>
      </c>
      <c r="L442" s="127">
        <f t="shared" si="1357"/>
        <v>0.36214010976817357</v>
      </c>
      <c r="M442" s="2"/>
      <c r="N442" s="133" t="s">
        <v>3</v>
      </c>
      <c r="O442" s="158">
        <f t="shared" si="1358"/>
        <v>2.9809586027042592</v>
      </c>
      <c r="P442" s="158">
        <f t="shared" si="1358"/>
        <v>3.1360114844840776</v>
      </c>
      <c r="Q442" s="158">
        <f t="shared" si="1358"/>
        <v>3.6446403114586219</v>
      </c>
      <c r="R442" s="158">
        <f t="shared" si="1358"/>
        <v>3.6692226367536773</v>
      </c>
      <c r="S442" s="158">
        <f t="shared" si="1358"/>
        <v>3.5463673291039233</v>
      </c>
      <c r="T442" s="158">
        <f t="shared" si="1358"/>
        <v>3.7294431662668246</v>
      </c>
      <c r="U442" s="158">
        <f t="shared" si="1358"/>
        <v>3.842758688889826</v>
      </c>
      <c r="V442" s="158">
        <f t="shared" si="1363"/>
        <v>3.6152574401721171</v>
      </c>
      <c r="W442" s="180">
        <f t="shared" si="1368"/>
        <v>3.8372221169782801</v>
      </c>
      <c r="X442" s="180">
        <f t="shared" si="1359"/>
        <v>3.8797482436406381</v>
      </c>
      <c r="Y442" s="147">
        <f t="shared" si="1360"/>
        <v>1.108252933136078E-2</v>
      </c>
      <c r="Z442" s="127">
        <f t="shared" si="1361"/>
        <v>1.8131713946601069E-2</v>
      </c>
    </row>
    <row r="443" spans="1:26" x14ac:dyDescent="0.25">
      <c r="A443" s="133" t="s">
        <v>4</v>
      </c>
      <c r="B443" s="158">
        <f t="shared" si="1354"/>
        <v>2.705212364538101</v>
      </c>
      <c r="C443" s="158">
        <f t="shared" si="1354"/>
        <v>3.6539991520054125</v>
      </c>
      <c r="D443" s="158">
        <f t="shared" si="1354"/>
        <v>3.6892247210224856</v>
      </c>
      <c r="E443" s="158">
        <f t="shared" si="1354"/>
        <v>3.4263755193987753</v>
      </c>
      <c r="F443" s="158">
        <f t="shared" si="1354"/>
        <v>3.5155186693153713</v>
      </c>
      <c r="G443" s="158">
        <f t="shared" si="1354"/>
        <v>4.2334030996477958</v>
      </c>
      <c r="H443" s="158">
        <f t="shared" si="1367"/>
        <v>3.3211481402553971</v>
      </c>
      <c r="I443" s="158">
        <f t="shared" si="1367"/>
        <v>4.4378121444344805</v>
      </c>
      <c r="J443" s="180">
        <f t="shared" si="1367"/>
        <v>3.7193813364907866</v>
      </c>
      <c r="K443" s="180"/>
      <c r="L443" s="127"/>
      <c r="M443" s="2"/>
      <c r="N443" s="133" t="s">
        <v>4</v>
      </c>
      <c r="O443" s="158">
        <f t="shared" ref="O443:S449" si="1369">+O264/O85</f>
        <v>2.9742422858445168</v>
      </c>
      <c r="P443" s="158">
        <f t="shared" si="1369"/>
        <v>3.2088666547760409</v>
      </c>
      <c r="Q443" s="158">
        <f t="shared" si="1369"/>
        <v>3.6473030110506843</v>
      </c>
      <c r="R443" s="158">
        <f t="shared" si="1369"/>
        <v>3.6498485256855</v>
      </c>
      <c r="S443" s="158">
        <f t="shared" ref="S443" si="1370">+S264/S85</f>
        <v>3.5517016742993985</v>
      </c>
      <c r="T443" s="158">
        <f t="shared" si="1358"/>
        <v>3.7897820089659904</v>
      </c>
      <c r="U443" s="158">
        <f t="shared" si="1358"/>
        <v>3.780729016908146</v>
      </c>
      <c r="V443" s="158">
        <f t="shared" si="1363"/>
        <v>3.6698065803241269</v>
      </c>
      <c r="W443" s="180">
        <f t="shared" si="1368"/>
        <v>3.7953408281645569</v>
      </c>
      <c r="X443" s="180"/>
      <c r="Y443" s="147"/>
      <c r="Z443" s="127"/>
    </row>
    <row r="444" spans="1:26" x14ac:dyDescent="0.25">
      <c r="A444" s="133" t="s">
        <v>5</v>
      </c>
      <c r="B444" s="158">
        <f t="shared" si="1354"/>
        <v>3.0132960221365872</v>
      </c>
      <c r="C444" s="158">
        <f t="shared" si="1354"/>
        <v>3.737381328123043</v>
      </c>
      <c r="D444" s="158">
        <f t="shared" si="1354"/>
        <v>4.1437906463646845</v>
      </c>
      <c r="E444" s="158">
        <f t="shared" si="1354"/>
        <v>3.8477058149697179</v>
      </c>
      <c r="F444" s="158">
        <f t="shared" si="1354"/>
        <v>3.6353797376143868</v>
      </c>
      <c r="G444" s="158">
        <f t="shared" si="1354"/>
        <v>4.0023446229370068</v>
      </c>
      <c r="H444" s="158">
        <f t="shared" si="1367"/>
        <v>3.548440199470893</v>
      </c>
      <c r="I444" s="158">
        <f t="shared" si="1367"/>
        <v>4.0772352815521353</v>
      </c>
      <c r="J444" s="180">
        <f t="shared" ref="J444" si="1371">+J265/J86</f>
        <v>4.3582709505432344</v>
      </c>
      <c r="K444" s="180"/>
      <c r="L444" s="127"/>
      <c r="M444" s="2"/>
      <c r="N444" s="133" t="s">
        <v>5</v>
      </c>
      <c r="O444" s="158">
        <f t="shared" si="1369"/>
        <v>3.0216762154506176</v>
      </c>
      <c r="P444" s="158">
        <f t="shared" si="1369"/>
        <v>3.2563982464936694</v>
      </c>
      <c r="Q444" s="158">
        <f t="shared" si="1369"/>
        <v>3.6698220272482125</v>
      </c>
      <c r="R444" s="158">
        <f t="shared" si="1369"/>
        <v>3.6335771553964853</v>
      </c>
      <c r="S444" s="158">
        <f t="shared" ref="S444" si="1372">+S265/S86</f>
        <v>3.5433008341694849</v>
      </c>
      <c r="T444" s="158">
        <f t="shared" si="1358"/>
        <v>3.8245065069544482</v>
      </c>
      <c r="U444" s="158">
        <f t="shared" si="1358"/>
        <v>3.7455030130855018</v>
      </c>
      <c r="V444" s="158">
        <f t="shared" si="1363"/>
        <v>3.7131835036118392</v>
      </c>
      <c r="W444" s="180">
        <f t="shared" si="1368"/>
        <v>3.8056507919761398</v>
      </c>
      <c r="X444" s="180"/>
      <c r="Y444" s="147"/>
      <c r="Z444" s="127"/>
    </row>
    <row r="445" spans="1:26" x14ac:dyDescent="0.25">
      <c r="A445" s="133" t="s">
        <v>6</v>
      </c>
      <c r="B445" s="158">
        <f t="shared" si="1354"/>
        <v>3.288955968345312</v>
      </c>
      <c r="C445" s="158">
        <f t="shared" si="1354"/>
        <v>3.3776885749412431</v>
      </c>
      <c r="D445" s="158">
        <f t="shared" si="1354"/>
        <v>3.6566670694929688</v>
      </c>
      <c r="E445" s="158">
        <f t="shared" si="1354"/>
        <v>3.5534876385000596</v>
      </c>
      <c r="F445" s="158">
        <f t="shared" si="1354"/>
        <v>3.706391257295492</v>
      </c>
      <c r="G445" s="158">
        <f t="shared" si="1354"/>
        <v>4.4464344367441182</v>
      </c>
      <c r="H445" s="158">
        <f t="shared" si="1367"/>
        <v>3.5632806347121093</v>
      </c>
      <c r="I445" s="158">
        <f>+I266/I87</f>
        <v>4.0412923242618337</v>
      </c>
      <c r="J445" s="180">
        <f t="shared" ref="J445:J448" si="1373">+J266/J87</f>
        <v>3.7752057148024232</v>
      </c>
      <c r="K445" s="180"/>
      <c r="L445" s="127"/>
      <c r="M445" s="2"/>
      <c r="N445" s="133" t="s">
        <v>6</v>
      </c>
      <c r="O445" s="158">
        <f t="shared" si="1369"/>
        <v>3.053127195719584</v>
      </c>
      <c r="P445" s="158">
        <f t="shared" si="1369"/>
        <v>3.2639088556452562</v>
      </c>
      <c r="Q445" s="158">
        <f t="shared" si="1369"/>
        <v>3.7051320600142064</v>
      </c>
      <c r="R445" s="158">
        <f t="shared" si="1369"/>
        <v>3.6241649319969191</v>
      </c>
      <c r="S445" s="158">
        <f t="shared" si="1369"/>
        <v>3.5605391660457721</v>
      </c>
      <c r="T445" s="158">
        <f t="shared" ref="T445:U445" si="1374">+T266/T87</f>
        <v>3.8970008109883412</v>
      </c>
      <c r="U445" s="158">
        <f t="shared" si="1374"/>
        <v>3.6606706095270423</v>
      </c>
      <c r="V445" s="158">
        <f t="shared" si="1363"/>
        <v>3.7846436975739679</v>
      </c>
      <c r="W445" s="180">
        <f t="shared" si="1368"/>
        <v>3.7682636690074824</v>
      </c>
      <c r="X445" s="180"/>
      <c r="Y445" s="147"/>
      <c r="Z445" s="127"/>
    </row>
    <row r="446" spans="1:26" x14ac:dyDescent="0.25">
      <c r="A446" s="133" t="s">
        <v>7</v>
      </c>
      <c r="B446" s="158">
        <f t="shared" si="1354"/>
        <v>3.4731921999484987</v>
      </c>
      <c r="C446" s="158">
        <f t="shared" si="1354"/>
        <v>4.1853293909852942</v>
      </c>
      <c r="D446" s="158">
        <f t="shared" si="1354"/>
        <v>3.903508058172902</v>
      </c>
      <c r="E446" s="158">
        <f t="shared" si="1354"/>
        <v>3.8051139409079853</v>
      </c>
      <c r="F446" s="158">
        <f t="shared" si="1354"/>
        <v>3.9564636559664303</v>
      </c>
      <c r="G446" s="158">
        <f t="shared" si="1354"/>
        <v>4.2536076975872907</v>
      </c>
      <c r="H446" s="158">
        <f t="shared" si="1367"/>
        <v>3.4829816572338355</v>
      </c>
      <c r="I446" s="158">
        <f t="shared" si="1367"/>
        <v>4.2464227649579174</v>
      </c>
      <c r="J446" s="180">
        <f t="shared" si="1373"/>
        <v>3.8186303124926337</v>
      </c>
      <c r="K446" s="180"/>
      <c r="L446" s="127"/>
      <c r="M446" s="2"/>
      <c r="N446" s="133" t="s">
        <v>7</v>
      </c>
      <c r="O446" s="158">
        <f t="shared" si="1369"/>
        <v>3.0258905337917574</v>
      </c>
      <c r="P446" s="158">
        <f t="shared" si="1369"/>
        <v>3.3370602944252377</v>
      </c>
      <c r="Q446" s="158">
        <f t="shared" si="1369"/>
        <v>3.6624208440183295</v>
      </c>
      <c r="R446" s="158">
        <f t="shared" si="1369"/>
        <v>3.609542493821333</v>
      </c>
      <c r="S446" s="158">
        <f t="shared" si="1369"/>
        <v>3.5696991693405202</v>
      </c>
      <c r="T446" s="158">
        <f t="shared" ref="T446:U446" si="1375">+T267/T88</f>
        <v>3.9153616097572517</v>
      </c>
      <c r="U446" s="158">
        <f t="shared" si="1375"/>
        <v>3.6035780648131088</v>
      </c>
      <c r="V446" s="158">
        <f t="shared" si="1363"/>
        <v>3.8733837508725406</v>
      </c>
      <c r="W446" s="180">
        <f t="shared" si="1363"/>
        <v>3.7372964971568741</v>
      </c>
      <c r="X446" s="180"/>
      <c r="Y446" s="147"/>
      <c r="Z446" s="127"/>
    </row>
    <row r="447" spans="1:26" x14ac:dyDescent="0.25">
      <c r="A447" s="133" t="s">
        <v>8</v>
      </c>
      <c r="B447" s="158">
        <f t="shared" ref="B447:G449" si="1376">+B268/B89</f>
        <v>3.1891054836946617</v>
      </c>
      <c r="C447" s="158">
        <f t="shared" si="1376"/>
        <v>3.7422312824041537</v>
      </c>
      <c r="D447" s="158">
        <f t="shared" si="1376"/>
        <v>3.7893075518144999</v>
      </c>
      <c r="E447" s="158">
        <f t="shared" si="1376"/>
        <v>4.1855260637708041</v>
      </c>
      <c r="F447" s="158">
        <f t="shared" si="1376"/>
        <v>3.9379205187976312</v>
      </c>
      <c r="G447" s="158">
        <f t="shared" si="1376"/>
        <v>4.1827622930674853</v>
      </c>
      <c r="H447" s="158">
        <f t="shared" si="1367"/>
        <v>3.1562716897584804</v>
      </c>
      <c r="I447" s="158">
        <f t="shared" si="1367"/>
        <v>3.6291587491030768</v>
      </c>
      <c r="J447" s="180">
        <f t="shared" si="1373"/>
        <v>3.9205581256456998</v>
      </c>
      <c r="K447" s="180"/>
      <c r="L447" s="127"/>
      <c r="M447" s="2"/>
      <c r="N447" s="133" t="s">
        <v>8</v>
      </c>
      <c r="O447" s="158">
        <f t="shared" si="1369"/>
        <v>3.0794140342101803</v>
      </c>
      <c r="P447" s="158">
        <f t="shared" si="1369"/>
        <v>3.3811063917564224</v>
      </c>
      <c r="Q447" s="158">
        <f t="shared" si="1369"/>
        <v>3.6702694049983742</v>
      </c>
      <c r="R447" s="158">
        <f t="shared" si="1369"/>
        <v>3.6301972206187934</v>
      </c>
      <c r="S447" s="158">
        <f t="shared" si="1369"/>
        <v>3.5640332541275281</v>
      </c>
      <c r="T447" s="158">
        <f t="shared" ref="T447:U447" si="1377">+T268/T89</f>
        <v>3.9391047690907879</v>
      </c>
      <c r="U447" s="158">
        <f t="shared" si="1377"/>
        <v>3.5245448852043131</v>
      </c>
      <c r="V447" s="158">
        <f t="shared" si="1363"/>
        <v>3.9093017916677399</v>
      </c>
      <c r="W447" s="180">
        <f t="shared" si="13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376"/>
        <v>3.1306921675774135</v>
      </c>
      <c r="C448" s="158">
        <f t="shared" si="1376"/>
        <v>3.4267110236605176</v>
      </c>
      <c r="D448" s="158">
        <f t="shared" si="1376"/>
        <v>3.6398457503602271</v>
      </c>
      <c r="E448" s="158">
        <f t="shared" si="1376"/>
        <v>3.5139882189720324</v>
      </c>
      <c r="F448" s="158">
        <f t="shared" si="1376"/>
        <v>3.7446742410793536</v>
      </c>
      <c r="G448" s="158">
        <f t="shared" si="1376"/>
        <v>3.752632331855124</v>
      </c>
      <c r="H448" s="158">
        <f t="shared" si="1367"/>
        <v>3.5315716171975327</v>
      </c>
      <c r="I448" s="158">
        <f t="shared" si="1367"/>
        <v>4.2367481258903261</v>
      </c>
      <c r="J448" s="180">
        <f t="shared" si="1373"/>
        <v>3.5521341358948293</v>
      </c>
      <c r="K448" s="180"/>
      <c r="L448" s="127"/>
      <c r="M448" s="2"/>
      <c r="N448" s="133" t="s">
        <v>9</v>
      </c>
      <c r="O448" s="158">
        <f t="shared" si="1369"/>
        <v>3.0891554587724688</v>
      </c>
      <c r="P448" s="158">
        <f t="shared" si="1369"/>
        <v>3.4032676138815443</v>
      </c>
      <c r="Q448" s="158">
        <f t="shared" si="1369"/>
        <v>3.6812855141549217</v>
      </c>
      <c r="R448" s="158">
        <f t="shared" si="1369"/>
        <v>3.6146999633849894</v>
      </c>
      <c r="S448" s="158">
        <f t="shared" si="1369"/>
        <v>3.5806504172321474</v>
      </c>
      <c r="T448" s="158">
        <f t="shared" ref="T448:U448" si="1378">+T269/T90</f>
        <v>3.9380418414846163</v>
      </c>
      <c r="U448" s="158">
        <f t="shared" si="1378"/>
        <v>3.5055885302201597</v>
      </c>
      <c r="V448" s="158">
        <f t="shared" si="1363"/>
        <v>3.9633622775114707</v>
      </c>
      <c r="W448" s="180">
        <f t="shared" si="13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376"/>
        <v>3.0891554587724692</v>
      </c>
      <c r="C449" s="182">
        <f t="shared" si="1376"/>
        <v>3.4032676138815443</v>
      </c>
      <c r="D449" s="182">
        <f t="shared" si="1376"/>
        <v>3.6812855141549217</v>
      </c>
      <c r="E449" s="182">
        <f t="shared" si="1376"/>
        <v>3.6146999633849894</v>
      </c>
      <c r="F449" s="182">
        <f t="shared" si="1376"/>
        <v>3.5806504172321474</v>
      </c>
      <c r="G449" s="182">
        <f t="shared" ref="G449:I449" si="1379">+G270/G91</f>
        <v>3.9380418414846163</v>
      </c>
      <c r="H449" s="182">
        <f t="shared" si="1379"/>
        <v>3.5055885302201597</v>
      </c>
      <c r="I449" s="182">
        <f t="shared" si="1379"/>
        <v>3.9633622775114707</v>
      </c>
      <c r="J449" s="183">
        <f t="shared" ref="J449" si="1380">+J270/J91</f>
        <v>3.7158148749444524</v>
      </c>
      <c r="K449" s="183"/>
      <c r="L449" s="137"/>
      <c r="M449" s="3"/>
      <c r="N449" s="134" t="s">
        <v>14</v>
      </c>
      <c r="O449" s="182">
        <f t="shared" si="1369"/>
        <v>3.0028132548749733</v>
      </c>
      <c r="P449" s="182">
        <f t="shared" si="1369"/>
        <v>3.1996344635180725</v>
      </c>
      <c r="Q449" s="182">
        <f t="shared" si="1369"/>
        <v>3.6046917636911524</v>
      </c>
      <c r="R449" s="182">
        <f t="shared" si="1369"/>
        <v>3.656207613425583</v>
      </c>
      <c r="S449" s="182">
        <f t="shared" si="1369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3.7609674078097703</v>
      </c>
      <c r="Y449" s="149">
        <f>+X449/W449-1</f>
        <v>-1.8232625801134716E-2</v>
      </c>
      <c r="Z449" s="156">
        <f>+POWER(X449/S449,0.2)-1</f>
        <v>1.0039246183092487E-2</v>
      </c>
    </row>
    <row r="450" spans="1:26" ht="25.5" x14ac:dyDescent="0.25">
      <c r="A450" s="135" t="s">
        <v>15</v>
      </c>
      <c r="B450" s="138">
        <f t="shared" ref="B450:I450" si="1381">+B449/B$539</f>
        <v>0.98048825187002786</v>
      </c>
      <c r="C450" s="138">
        <f t="shared" si="1381"/>
        <v>0.94776156112059617</v>
      </c>
      <c r="D450" s="138">
        <f t="shared" si="1381"/>
        <v>1.2251821841129942</v>
      </c>
      <c r="E450" s="138">
        <f t="shared" si="1381"/>
        <v>1.3842333669006712</v>
      </c>
      <c r="F450" s="138">
        <f t="shared" si="1381"/>
        <v>1.7938590645442443</v>
      </c>
      <c r="G450" s="138">
        <f t="shared" si="1381"/>
        <v>1.3767492384350251</v>
      </c>
      <c r="H450" s="138">
        <f t="shared" si="1381"/>
        <v>1.09853592929823</v>
      </c>
      <c r="I450" s="138">
        <f t="shared" si="1381"/>
        <v>1.1240320192892881</v>
      </c>
      <c r="J450" s="139">
        <f t="shared" ref="J450" si="1382">+J449/J$539</f>
        <v>1.0654445450528878</v>
      </c>
      <c r="K450" s="139"/>
      <c r="L450" s="140"/>
      <c r="M450" s="3"/>
      <c r="N450" s="135" t="s">
        <v>15</v>
      </c>
      <c r="O450" s="138">
        <f t="shared" ref="O450:T450" si="1383">+O449/O$539</f>
        <v>0.96600279153801616</v>
      </c>
      <c r="P450" s="138">
        <f t="shared" si="1383"/>
        <v>0.94957808794154075</v>
      </c>
      <c r="Q450" s="138">
        <f t="shared" si="1383"/>
        <v>1.0485886041096735</v>
      </c>
      <c r="R450" s="138">
        <f t="shared" si="1383"/>
        <v>1.325856240362755</v>
      </c>
      <c r="S450" s="138">
        <f t="shared" si="1383"/>
        <v>1.6952354075654066</v>
      </c>
      <c r="T450" s="138">
        <f t="shared" si="1383"/>
        <v>1.5204685150764334</v>
      </c>
      <c r="U450" s="138">
        <f t="shared" ref="U450:X450" si="1384">+U449/U$539</f>
        <v>1.2411693518910762</v>
      </c>
      <c r="V450" s="138">
        <f t="shared" si="1384"/>
        <v>1.0803694238917496</v>
      </c>
      <c r="W450" s="139">
        <f t="shared" si="1384"/>
        <v>1.0922025059668605</v>
      </c>
      <c r="X450" s="139">
        <f t="shared" si="1384"/>
        <v>1.0773196967768326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385">+D449/C449-1</f>
        <v>8.1691460036634744E-2</v>
      </c>
      <c r="E451" s="142">
        <f t="shared" si="1385"/>
        <v>-1.8087581230497807E-2</v>
      </c>
      <c r="F451" s="142">
        <f t="shared" si="1385"/>
        <v>-9.4197434082347042E-3</v>
      </c>
      <c r="G451" s="142">
        <f t="shared" si="1385"/>
        <v>9.9811872874407515E-2</v>
      </c>
      <c r="H451" s="142">
        <f t="shared" si="1385"/>
        <v>-0.10981430077985777</v>
      </c>
      <c r="I451" s="142">
        <f t="shared" ref="I451:J451" si="1386">+I449/H449-1</f>
        <v>0.13058399277183907</v>
      </c>
      <c r="J451" s="143">
        <f t="shared" si="138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387">+Q449/P449-1</f>
        <v>0.12659486725483959</v>
      </c>
      <c r="R451" s="142">
        <f t="shared" si="1387"/>
        <v>1.4291332827214953E-2</v>
      </c>
      <c r="S451" s="142">
        <f t="shared" si="1387"/>
        <v>-2.146249512009557E-2</v>
      </c>
      <c r="T451" s="142">
        <f t="shared" si="1387"/>
        <v>5.0804317289859791E-2</v>
      </c>
      <c r="U451" s="142">
        <f t="shared" si="1387"/>
        <v>-1.531941234882761E-3</v>
      </c>
      <c r="V451" s="142">
        <f t="shared" si="1387"/>
        <v>-2.2956902597420781E-2</v>
      </c>
      <c r="W451" s="143">
        <f t="shared" ref="W451" si="1388">+W449/V449-1</f>
        <v>4.4510726459952243E-2</v>
      </c>
      <c r="X451" s="143">
        <f t="shared" ref="X451" si="1389">+X449/W449-1</f>
        <v>-1.8232625801134716E-2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147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148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390">+C454+1</f>
        <v>2018</v>
      </c>
      <c r="E454" s="129">
        <f t="shared" ref="E454" si="1391">+D454+1</f>
        <v>2019</v>
      </c>
      <c r="F454" s="129">
        <f t="shared" ref="F454" si="1392">+E454+1</f>
        <v>2020</v>
      </c>
      <c r="G454" s="129">
        <f t="shared" ref="G454" si="1393">+F454+1</f>
        <v>2021</v>
      </c>
      <c r="H454" s="129">
        <f t="shared" ref="H454" si="1394">+G454+1</f>
        <v>2022</v>
      </c>
      <c r="I454" s="129">
        <f t="shared" ref="I454" si="1395">+H454+1</f>
        <v>2023</v>
      </c>
      <c r="J454" s="130">
        <f t="shared" ref="J454:K454" si="1396">+I454+1</f>
        <v>2024</v>
      </c>
      <c r="K454" s="130">
        <f t="shared" si="139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397">+P454+1</f>
        <v>2018</v>
      </c>
      <c r="R454" s="129">
        <f t="shared" si="1397"/>
        <v>2019</v>
      </c>
      <c r="S454" s="129">
        <f t="shared" si="1397"/>
        <v>2020</v>
      </c>
      <c r="T454" s="129">
        <f t="shared" si="139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398">+B276/B115</f>
        <v>2.8271690720005469</v>
      </c>
      <c r="C455" s="158">
        <f t="shared" si="1398"/>
        <v>3.662111124647943</v>
      </c>
      <c r="D455" s="158">
        <f t="shared" si="1398"/>
        <v>5.1016276621588785</v>
      </c>
      <c r="E455" s="158">
        <f t="shared" si="1398"/>
        <v>4.3283292237254827</v>
      </c>
      <c r="F455" s="158">
        <f t="shared" si="1398"/>
        <v>2.1885051949611638</v>
      </c>
      <c r="G455" s="158">
        <f t="shared" si="1398"/>
        <v>2.2338014989863035</v>
      </c>
      <c r="H455" s="158">
        <f t="shared" ref="H455" si="1399">+H276/H115</f>
        <v>2.125805775378649</v>
      </c>
      <c r="I455" s="158">
        <f t="shared" ref="I455:J455" si="1400">+I276/I97</f>
        <v>4.8238301656107598</v>
      </c>
      <c r="J455" s="180">
        <f t="shared" si="1400"/>
        <v>4.5682268465353406</v>
      </c>
      <c r="K455" s="180">
        <f t="shared" ref="K455:K460" si="1401">+K276/K97</f>
        <v>3.4644262572125246</v>
      </c>
      <c r="L455" s="127">
        <f t="shared" ref="L455:L460" si="1402">+K455/J455-1</f>
        <v>-0.2416256080102428</v>
      </c>
      <c r="M455" s="2"/>
      <c r="N455" s="133" t="s">
        <v>10</v>
      </c>
      <c r="O455" s="158">
        <f t="shared" ref="O455:T460" si="1403">+O276/O115</f>
        <v>3.3206062876178044</v>
      </c>
      <c r="P455" s="158">
        <f t="shared" si="1403"/>
        <v>3.140366935768296</v>
      </c>
      <c r="Q455" s="158">
        <f t="shared" si="1403"/>
        <v>4.5904077625428679</v>
      </c>
      <c r="R455" s="158">
        <f t="shared" si="1403"/>
        <v>5.0061016168084453</v>
      </c>
      <c r="S455" s="158">
        <f t="shared" si="1403"/>
        <v>1.6922618992671985</v>
      </c>
      <c r="T455" s="158">
        <f t="shared" si="1403"/>
        <v>2.3417940131850545</v>
      </c>
      <c r="U455" s="158">
        <f t="shared" ref="U455:X460" si="1404">+U276/U97</f>
        <v>2.5898322765400192</v>
      </c>
      <c r="V455" s="158">
        <f t="shared" si="1404"/>
        <v>5.1330193408294784</v>
      </c>
      <c r="W455" s="180">
        <f t="shared" si="1404"/>
        <v>6.4490108492188147</v>
      </c>
      <c r="X455" s="180">
        <f t="shared" si="1404"/>
        <v>5.847665151330097</v>
      </c>
      <c r="Y455" s="147">
        <f t="shared" ref="Y455:Y460" si="1405">+X455/W455-1</f>
        <v>-9.3246191074645268E-2</v>
      </c>
      <c r="Z455" s="127">
        <f t="shared" ref="Z455:Z460" si="1406">+POWER(X455/S455,0.2)-1</f>
        <v>0.28145389041606661</v>
      </c>
    </row>
    <row r="456" spans="1:26" x14ac:dyDescent="0.25">
      <c r="A456" s="133" t="s">
        <v>11</v>
      </c>
      <c r="B456" s="158">
        <f t="shared" si="1398"/>
        <v>1.8393154808303454</v>
      </c>
      <c r="C456" s="158">
        <f t="shared" si="1398"/>
        <v>3.662275601040323</v>
      </c>
      <c r="D456" s="158">
        <f t="shared" si="1398"/>
        <v>4.5838833418922134</v>
      </c>
      <c r="E456" s="158">
        <f t="shared" si="1398"/>
        <v>5.2626491531430908</v>
      </c>
      <c r="F456" s="158">
        <f t="shared" si="1398"/>
        <v>2.6383671733976661</v>
      </c>
      <c r="G456" s="158">
        <f t="shared" si="1398"/>
        <v>3.8652024884378857</v>
      </c>
      <c r="H456" s="158">
        <f t="shared" ref="H456" si="1407">+H277/H116</f>
        <v>2.4162255187441515</v>
      </c>
      <c r="I456" s="158">
        <f t="shared" ref="I456:J456" si="1408">+I277/I98</f>
        <v>9.387628826111337</v>
      </c>
      <c r="J456" s="180">
        <f t="shared" si="1408"/>
        <v>4.3106519415746343</v>
      </c>
      <c r="K456" s="180">
        <f t="shared" si="1401"/>
        <v>6.8078225513516042</v>
      </c>
      <c r="L456" s="127">
        <f t="shared" si="1402"/>
        <v>0.57930230592098808</v>
      </c>
      <c r="M456" s="2"/>
      <c r="N456" s="133" t="s">
        <v>11</v>
      </c>
      <c r="O456" s="158">
        <f t="shared" si="1403"/>
        <v>3.1431629124047293</v>
      </c>
      <c r="P456" s="158">
        <f t="shared" si="1403"/>
        <v>3.2852554031036734</v>
      </c>
      <c r="Q456" s="158">
        <f t="shared" si="1403"/>
        <v>4.6341877132755567</v>
      </c>
      <c r="R456" s="158">
        <f t="shared" si="1403"/>
        <v>5.0424284212394683</v>
      </c>
      <c r="S456" s="158">
        <f t="shared" si="1403"/>
        <v>1.6817498839671534</v>
      </c>
      <c r="T456" s="158">
        <f t="shared" si="1403"/>
        <v>2.4398033638121714</v>
      </c>
      <c r="U456" s="158">
        <f t="shared" si="1404"/>
        <v>2.7535531066108505</v>
      </c>
      <c r="V456" s="158">
        <f t="shared" si="1404"/>
        <v>5.1920524989721732</v>
      </c>
      <c r="W456" s="180">
        <f t="shared" si="1404"/>
        <v>6.2031756933838214</v>
      </c>
      <c r="X456" s="180">
        <f t="shared" si="1404"/>
        <v>6.0225893491644795</v>
      </c>
      <c r="Y456" s="147">
        <f t="shared" si="1405"/>
        <v>-2.9111918337562437E-2</v>
      </c>
      <c r="Z456" s="127">
        <f t="shared" si="1406"/>
        <v>0.29063776602867142</v>
      </c>
    </row>
    <row r="457" spans="1:26" x14ac:dyDescent="0.25">
      <c r="A457" s="133" t="s">
        <v>0</v>
      </c>
      <c r="B457" s="158">
        <f t="shared" si="1398"/>
        <v>3.137396756496051</v>
      </c>
      <c r="C457" s="158">
        <f t="shared" si="1398"/>
        <v>5.0369936168545033</v>
      </c>
      <c r="D457" s="158">
        <f t="shared" si="1398"/>
        <v>4.5935006549048607</v>
      </c>
      <c r="E457" s="158">
        <f t="shared" si="1398"/>
        <v>4.6131873965192556</v>
      </c>
      <c r="F457" s="158">
        <f t="shared" si="1398"/>
        <v>0.66207214846532958</v>
      </c>
      <c r="G457" s="158">
        <f t="shared" si="1398"/>
        <v>2.2810967449895925</v>
      </c>
      <c r="H457" s="158">
        <f t="shared" ref="H457" si="1409">+H278/H117</f>
        <v>1.7899272668669273</v>
      </c>
      <c r="I457" s="158">
        <f t="shared" ref="I457:J457" si="1410">+I278/I99</f>
        <v>6.4031831326783841</v>
      </c>
      <c r="J457" s="180">
        <f t="shared" si="1410"/>
        <v>7.8760664571171981</v>
      </c>
      <c r="K457" s="180">
        <f t="shared" si="1401"/>
        <v>4.3370831809257915</v>
      </c>
      <c r="L457" s="127">
        <f t="shared" si="1402"/>
        <v>-0.44933385154380057</v>
      </c>
      <c r="M457" s="2"/>
      <c r="N457" s="133" t="s">
        <v>0</v>
      </c>
      <c r="O457" s="158">
        <f t="shared" si="1403"/>
        <v>3.3169674910323912</v>
      </c>
      <c r="P457" s="158">
        <f t="shared" si="1403"/>
        <v>3.3708584046041854</v>
      </c>
      <c r="Q457" s="158">
        <f t="shared" si="1403"/>
        <v>4.6074485924426467</v>
      </c>
      <c r="R457" s="158">
        <f t="shared" si="1403"/>
        <v>5.0611600229293314</v>
      </c>
      <c r="S457" s="158">
        <f t="shared" si="1403"/>
        <v>1.55883575297704</v>
      </c>
      <c r="T457" s="158">
        <f t="shared" si="1403"/>
        <v>2.6327009535958297</v>
      </c>
      <c r="U457" s="158">
        <f t="shared" si="1404"/>
        <v>3.3780779986008547</v>
      </c>
      <c r="V457" s="158">
        <f t="shared" si="1404"/>
        <v>5.3519160001335315</v>
      </c>
      <c r="W457" s="180">
        <f t="shared" si="1404"/>
        <v>6.2692700510663864</v>
      </c>
      <c r="X457" s="180">
        <f t="shared" si="1404"/>
        <v>5.7301102506508705</v>
      </c>
      <c r="Y457" s="147">
        <f t="shared" si="1405"/>
        <v>-8.6000410896928337E-2</v>
      </c>
      <c r="Z457" s="127">
        <f t="shared" si="1406"/>
        <v>0.29739590854425613</v>
      </c>
    </row>
    <row r="458" spans="1:26" x14ac:dyDescent="0.25">
      <c r="A458" s="133" t="s">
        <v>1</v>
      </c>
      <c r="B458" s="158">
        <f t="shared" si="1398"/>
        <v>7.0280415512980134</v>
      </c>
      <c r="C458" s="158">
        <f t="shared" si="1398"/>
        <v>4.0049312113910087</v>
      </c>
      <c r="D458" s="158">
        <f t="shared" si="1398"/>
        <v>4.077133013267308</v>
      </c>
      <c r="E458" s="158">
        <f t="shared" si="1398"/>
        <v>4.3199537276922886</v>
      </c>
      <c r="F458" s="158">
        <f t="shared" si="1398"/>
        <v>14.338597384955003</v>
      </c>
      <c r="G458" s="158">
        <f t="shared" si="1398"/>
        <v>2.2030828772801909</v>
      </c>
      <c r="H458" s="158">
        <f t="shared" ref="H458" si="1411">+H279/H118</f>
        <v>1.2223865444740534</v>
      </c>
      <c r="I458" s="158">
        <f t="shared" ref="I458:J458" si="1412">+I279/I100</f>
        <v>5.7749642638350007</v>
      </c>
      <c r="J458" s="180">
        <f t="shared" si="1412"/>
        <v>5.3366243456013702</v>
      </c>
      <c r="K458" s="180">
        <f t="shared" si="1401"/>
        <v>5.5291457723412272</v>
      </c>
      <c r="L458" s="127">
        <f t="shared" si="1402"/>
        <v>3.607550658845593E-2</v>
      </c>
      <c r="M458" s="2"/>
      <c r="N458" s="133" t="s">
        <v>1</v>
      </c>
      <c r="O458" s="158">
        <f t="shared" si="1403"/>
        <v>3.4700383438234672</v>
      </c>
      <c r="P458" s="158">
        <f t="shared" si="1403"/>
        <v>3.2693002358117229</v>
      </c>
      <c r="Q458" s="158">
        <f t="shared" si="1403"/>
        <v>4.6195711186417068</v>
      </c>
      <c r="R458" s="158">
        <f t="shared" si="1403"/>
        <v>5.0922948982304375</v>
      </c>
      <c r="S458" s="158">
        <f t="shared" si="1403"/>
        <v>1.6175935724449007</v>
      </c>
      <c r="T458" s="158">
        <f t="shared" si="1403"/>
        <v>2.4291528212839344</v>
      </c>
      <c r="U458" s="158">
        <f t="shared" si="1404"/>
        <v>3.3866348090199416</v>
      </c>
      <c r="V458" s="158">
        <f t="shared" si="1404"/>
        <v>5.4613722105177169</v>
      </c>
      <c r="W458" s="180">
        <f t="shared" ref="W458" si="1413">+W279/W100</f>
        <v>6.247181143914152</v>
      </c>
      <c r="X458" s="180">
        <f t="shared" si="1404"/>
        <v>5.7593785461584677</v>
      </c>
      <c r="Y458" s="147">
        <f t="shared" si="1405"/>
        <v>-7.8083632684621151E-2</v>
      </c>
      <c r="Z458" s="127">
        <f t="shared" si="1406"/>
        <v>0.28914343811593302</v>
      </c>
    </row>
    <row r="459" spans="1:26" x14ac:dyDescent="0.25">
      <c r="A459" s="133" t="s">
        <v>2</v>
      </c>
      <c r="B459" s="158">
        <f t="shared" si="1398"/>
        <v>3.1098866014733528</v>
      </c>
      <c r="C459" s="158">
        <f t="shared" si="1398"/>
        <v>5.1428101736559269</v>
      </c>
      <c r="D459" s="158">
        <f t="shared" si="1398"/>
        <v>3.8877911100344122</v>
      </c>
      <c r="E459" s="158">
        <f t="shared" si="1398"/>
        <v>5.6792559731434986</v>
      </c>
      <c r="F459" s="158">
        <f t="shared" si="1398"/>
        <v>4.0312022962044454</v>
      </c>
      <c r="G459" s="158">
        <f t="shared" si="1398"/>
        <v>0.97216490117852061</v>
      </c>
      <c r="H459" s="158">
        <f t="shared" ref="H459:H466" si="1414">+H280/H119</f>
        <v>1.9313043336309401</v>
      </c>
      <c r="I459" s="158">
        <f t="shared" ref="I459:J461" si="1415">+I280/I101</f>
        <v>5.204251183496881</v>
      </c>
      <c r="J459" s="180">
        <f t="shared" si="1415"/>
        <v>3.9350595063638414</v>
      </c>
      <c r="K459" s="180">
        <f t="shared" si="1401"/>
        <v>6.7101835206352556</v>
      </c>
      <c r="L459" s="127">
        <f t="shared" si="1402"/>
        <v>0.70523050789535424</v>
      </c>
      <c r="M459" s="2"/>
      <c r="N459" s="133" t="s">
        <v>2</v>
      </c>
      <c r="O459" s="158">
        <f t="shared" si="1403"/>
        <v>3.2917525979616764</v>
      </c>
      <c r="P459" s="158">
        <f t="shared" si="1403"/>
        <v>3.4157358222372265</v>
      </c>
      <c r="Q459" s="158">
        <f t="shared" si="1403"/>
        <v>4.5223946368384595</v>
      </c>
      <c r="R459" s="158">
        <f t="shared" si="1403"/>
        <v>5.2472000067382547</v>
      </c>
      <c r="S459" s="158">
        <f t="shared" si="1403"/>
        <v>1.548274366971929</v>
      </c>
      <c r="T459" s="158">
        <f t="shared" si="1403"/>
        <v>2.1158784110212134</v>
      </c>
      <c r="U459" s="158">
        <f t="shared" si="1404"/>
        <v>3.4075717089104458</v>
      </c>
      <c r="V459" s="158">
        <f t="shared" si="1404"/>
        <v>5.4755534766766667</v>
      </c>
      <c r="W459" s="180">
        <f t="shared" ref="W459:W463" si="1416">+W280/W101</f>
        <v>6.1084496114484148</v>
      </c>
      <c r="X459" s="180">
        <f t="shared" si="1404"/>
        <v>6.1181289109700545</v>
      </c>
      <c r="Y459" s="147">
        <f t="shared" si="1405"/>
        <v>1.5845754876162577E-3</v>
      </c>
      <c r="Z459" s="127">
        <f t="shared" si="1406"/>
        <v>0.31629775305730345</v>
      </c>
    </row>
    <row r="460" spans="1:26" x14ac:dyDescent="0.25">
      <c r="A460" s="133" t="s">
        <v>3</v>
      </c>
      <c r="B460" s="158">
        <f t="shared" si="1398"/>
        <v>7.6050367784565509</v>
      </c>
      <c r="C460" s="158">
        <f t="shared" si="1398"/>
        <v>5.495673389419597</v>
      </c>
      <c r="D460" s="158">
        <f t="shared" si="1398"/>
        <v>7.5796224764958824</v>
      </c>
      <c r="E460" s="158">
        <f t="shared" si="1398"/>
        <v>5.4982264867003261</v>
      </c>
      <c r="F460" s="158">
        <f t="shared" si="1398"/>
        <v>4.6931654922350683</v>
      </c>
      <c r="G460" s="158">
        <f t="shared" si="1398"/>
        <v>3.2021734208738963</v>
      </c>
      <c r="H460" s="158">
        <f t="shared" si="1414"/>
        <v>1.580310848515917</v>
      </c>
      <c r="I460" s="158">
        <f t="shared" ref="I460" si="1417">+I281/I102</f>
        <v>7.0054157065212115</v>
      </c>
      <c r="J460" s="180">
        <f t="shared" si="1415"/>
        <v>10.341359746494375</v>
      </c>
      <c r="K460" s="180">
        <f t="shared" si="1401"/>
        <v>7.2202658804902686</v>
      </c>
      <c r="L460" s="127">
        <f t="shared" si="1402"/>
        <v>-0.30180691345372912</v>
      </c>
      <c r="M460" s="2"/>
      <c r="N460" s="133" t="s">
        <v>3</v>
      </c>
      <c r="O460" s="158">
        <f t="shared" si="1403"/>
        <v>3.4980170723853319</v>
      </c>
      <c r="P460" s="158">
        <f t="shared" si="1403"/>
        <v>3.4112187503892395</v>
      </c>
      <c r="Q460" s="158">
        <f t="shared" si="1403"/>
        <v>4.5865258699097087</v>
      </c>
      <c r="R460" s="158">
        <f t="shared" si="1403"/>
        <v>5.161408351334881</v>
      </c>
      <c r="S460" s="158">
        <f t="shared" si="1403"/>
        <v>1.5181654887261777</v>
      </c>
      <c r="T460" s="158">
        <f t="shared" si="1403"/>
        <v>2.1188865963360164</v>
      </c>
      <c r="U460" s="158">
        <f t="shared" ref="U460" si="1418">+U281/U102</f>
        <v>3.4514054064191</v>
      </c>
      <c r="V460" s="158">
        <f t="shared" si="1404"/>
        <v>5.5558978897895388</v>
      </c>
      <c r="W460" s="180">
        <f t="shared" si="1416"/>
        <v>6.1290009792336404</v>
      </c>
      <c r="X460" s="180">
        <f t="shared" si="1404"/>
        <v>6.0134368496854878</v>
      </c>
      <c r="Y460" s="147">
        <f t="shared" si="1405"/>
        <v>-1.8855296310068881E-2</v>
      </c>
      <c r="Z460" s="127">
        <f t="shared" si="1406"/>
        <v>0.31692404707202315</v>
      </c>
    </row>
    <row r="461" spans="1:26" x14ac:dyDescent="0.25">
      <c r="A461" s="133" t="s">
        <v>4</v>
      </c>
      <c r="B461" s="158">
        <f t="shared" si="1398"/>
        <v>2.4108043962868901</v>
      </c>
      <c r="C461" s="158">
        <f t="shared" si="1398"/>
        <v>4.8513863561517256</v>
      </c>
      <c r="D461" s="158">
        <f t="shared" si="1398"/>
        <v>4.8306866838011535</v>
      </c>
      <c r="E461" s="158">
        <f t="shared" si="1398"/>
        <v>5.486916684906074</v>
      </c>
      <c r="F461" s="158">
        <f t="shared" si="1398"/>
        <v>1.5556034823310352</v>
      </c>
      <c r="G461" s="158">
        <f t="shared" si="1398"/>
        <v>3.8500627331803905</v>
      </c>
      <c r="H461" s="158">
        <f t="shared" si="1414"/>
        <v>0.737370701560768</v>
      </c>
      <c r="I461" s="158">
        <f t="shared" ref="I461" si="1419">+I282/I103</f>
        <v>7.587512413108243</v>
      </c>
      <c r="J461" s="180">
        <f t="shared" si="1415"/>
        <v>5.0931691613600583</v>
      </c>
      <c r="K461" s="180"/>
      <c r="L461" s="127"/>
      <c r="M461" s="2"/>
      <c r="N461" s="133" t="s">
        <v>4</v>
      </c>
      <c r="O461" s="158">
        <f t="shared" ref="O461:S467" si="1420">+O282/O121</f>
        <v>3.5386400553705726</v>
      </c>
      <c r="P461" s="158">
        <f t="shared" si="1420"/>
        <v>3.6145991232264127</v>
      </c>
      <c r="Q461" s="158">
        <f t="shared" si="1420"/>
        <v>4.5821733243732634</v>
      </c>
      <c r="R461" s="158">
        <f t="shared" si="1420"/>
        <v>5.2132170298283071</v>
      </c>
      <c r="S461" s="158">
        <f t="shared" si="1420"/>
        <v>1.4261792844820063</v>
      </c>
      <c r="T461" s="158">
        <v>2.5548526817353294</v>
      </c>
      <c r="U461" s="158">
        <f t="shared" ref="U461:V461" si="1421">+U282/U103</f>
        <v>3.3926804445031711</v>
      </c>
      <c r="V461" s="158">
        <f t="shared" si="1421"/>
        <v>6.0238450565084731</v>
      </c>
      <c r="W461" s="180">
        <f t="shared" si="1416"/>
        <v>5.8817754503841178</v>
      </c>
      <c r="X461" s="180"/>
      <c r="Y461" s="147"/>
      <c r="Z461" s="127"/>
    </row>
    <row r="462" spans="1:26" x14ac:dyDescent="0.25">
      <c r="A462" s="133" t="s">
        <v>5</v>
      </c>
      <c r="B462" s="158">
        <f t="shared" si="1398"/>
        <v>1.8768237201797442</v>
      </c>
      <c r="C462" s="158">
        <f t="shared" si="1398"/>
        <v>4.5458468797652269</v>
      </c>
      <c r="D462" s="158">
        <f t="shared" si="1398"/>
        <v>5.595563968249099</v>
      </c>
      <c r="E462" s="158">
        <f t="shared" si="1398"/>
        <v>1.0886492866258051</v>
      </c>
      <c r="F462" s="158">
        <f t="shared" si="1398"/>
        <v>2.1061975078753261</v>
      </c>
      <c r="G462" s="158">
        <f t="shared" si="1398"/>
        <v>5.7784203249066577</v>
      </c>
      <c r="H462" s="158">
        <f t="shared" si="1414"/>
        <v>1.37442115600068</v>
      </c>
      <c r="I462" s="158">
        <f t="shared" ref="I462:J462" si="1422">+I283/I104</f>
        <v>5.8116797100047517</v>
      </c>
      <c r="J462" s="180">
        <f t="shared" si="1422"/>
        <v>6.5153298309896757</v>
      </c>
      <c r="K462" s="180"/>
      <c r="L462" s="127"/>
      <c r="M462" s="2"/>
      <c r="N462" s="133" t="s">
        <v>5</v>
      </c>
      <c r="O462" s="158">
        <f t="shared" si="1420"/>
        <v>3.4089490459145657</v>
      </c>
      <c r="P462" s="158">
        <f t="shared" si="1420"/>
        <v>4.1789515928963592</v>
      </c>
      <c r="Q462" s="158">
        <f t="shared" si="1420"/>
        <v>4.6992854427912558</v>
      </c>
      <c r="R462" s="158">
        <f t="shared" si="1420"/>
        <v>3.9064636501290741</v>
      </c>
      <c r="S462" s="158">
        <f t="shared" si="1420"/>
        <v>1.5102193139307343</v>
      </c>
      <c r="T462" s="158">
        <v>2.6294809480692276</v>
      </c>
      <c r="U462" s="158">
        <f t="shared" ref="U462:W466" si="1423">+U283/U104</f>
        <v>3.3576589696148957</v>
      </c>
      <c r="V462" s="158">
        <f t="shared" si="1423"/>
        <v>6.2573344439677694</v>
      </c>
      <c r="W462" s="180">
        <f t="shared" si="1416"/>
        <v>5.9497772764102788</v>
      </c>
      <c r="X462" s="180"/>
      <c r="Y462" s="147"/>
      <c r="Z462" s="127"/>
    </row>
    <row r="463" spans="1:26" x14ac:dyDescent="0.25">
      <c r="A463" s="133" t="s">
        <v>6</v>
      </c>
      <c r="B463" s="158">
        <f t="shared" si="1398"/>
        <v>1.4182722304444144</v>
      </c>
      <c r="C463" s="158">
        <f t="shared" si="1398"/>
        <v>4.2086098394395552</v>
      </c>
      <c r="D463" s="158">
        <f t="shared" si="1398"/>
        <v>5.109448228806639</v>
      </c>
      <c r="E463" s="158">
        <f t="shared" si="1398"/>
        <v>1.4309915624192988</v>
      </c>
      <c r="F463" s="158">
        <f t="shared" si="1398"/>
        <v>3.6791532024979388</v>
      </c>
      <c r="G463" s="158">
        <f t="shared" si="1398"/>
        <v>6.5483578784930723</v>
      </c>
      <c r="H463" s="158">
        <f t="shared" si="1414"/>
        <v>1.3646158072917258</v>
      </c>
      <c r="I463" s="158">
        <f>+I284/I105</f>
        <v>8.7283891136035141</v>
      </c>
      <c r="J463" s="180">
        <f t="shared" ref="J463:J466" si="1424">+J284/J105</f>
        <v>7.0903152136388981</v>
      </c>
      <c r="K463" s="180"/>
      <c r="L463" s="127"/>
      <c r="M463" s="2"/>
      <c r="N463" s="133" t="s">
        <v>6</v>
      </c>
      <c r="O463" s="158">
        <f t="shared" si="1420"/>
        <v>3.0581852156812745</v>
      </c>
      <c r="P463" s="158">
        <f t="shared" si="1420"/>
        <v>5.1462564102564103</v>
      </c>
      <c r="Q463" s="158">
        <f t="shared" si="1420"/>
        <v>4.7730927314609222</v>
      </c>
      <c r="R463" s="158">
        <f t="shared" si="1420"/>
        <v>3.0454040417581902</v>
      </c>
      <c r="S463" s="158">
        <f t="shared" si="1420"/>
        <v>1.5926775155664152</v>
      </c>
      <c r="T463" s="158">
        <v>2.3368660306616822</v>
      </c>
      <c r="U463" s="158">
        <f t="shared" ref="U463" si="1425">+U284/U105</f>
        <v>4.1985960398254836</v>
      </c>
      <c r="V463" s="158">
        <f t="shared" si="1423"/>
        <v>6.7073125437231562</v>
      </c>
      <c r="W463" s="180">
        <f t="shared" si="1416"/>
        <v>5.7927261720874705</v>
      </c>
      <c r="X463" s="180"/>
      <c r="Y463" s="147"/>
      <c r="Z463" s="127"/>
    </row>
    <row r="464" spans="1:26" x14ac:dyDescent="0.25">
      <c r="A464" s="133" t="s">
        <v>7</v>
      </c>
      <c r="B464" s="158">
        <f t="shared" si="1398"/>
        <v>3.5367277834614943</v>
      </c>
      <c r="C464" s="158">
        <f t="shared" si="1398"/>
        <v>4.011260062446155</v>
      </c>
      <c r="D464" s="158">
        <f t="shared" si="1398"/>
        <v>5.477220590762701</v>
      </c>
      <c r="E464" s="158">
        <f t="shared" si="1398"/>
        <v>0.65204399167428029</v>
      </c>
      <c r="F464" s="158">
        <f t="shared" si="1398"/>
        <v>1.8926563603040032</v>
      </c>
      <c r="G464" s="158">
        <f t="shared" si="1398"/>
        <v>1.3990183489634986</v>
      </c>
      <c r="H464" s="158">
        <f t="shared" si="1414"/>
        <v>2.8072123764132466</v>
      </c>
      <c r="I464" s="158">
        <f t="shared" ref="I464" si="1426">+I285/I106</f>
        <v>4.9760577472841634</v>
      </c>
      <c r="J464" s="180">
        <f t="shared" si="1424"/>
        <v>6.9733213300753061</v>
      </c>
      <c r="K464" s="180"/>
      <c r="L464" s="127"/>
      <c r="M464" s="2"/>
      <c r="N464" s="133" t="s">
        <v>7</v>
      </c>
      <c r="O464" s="158">
        <f t="shared" si="1420"/>
        <v>3.0061452916810216</v>
      </c>
      <c r="P464" s="158">
        <f t="shared" si="1420"/>
        <v>5.2455854632750754</v>
      </c>
      <c r="Q464" s="158">
        <f t="shared" si="1420"/>
        <v>4.8842606782694631</v>
      </c>
      <c r="R464" s="158">
        <f t="shared" si="1420"/>
        <v>2.2071027983031026</v>
      </c>
      <c r="S464" s="158">
        <f t="shared" si="1420"/>
        <v>1.9299191403836911</v>
      </c>
      <c r="T464" s="158">
        <f>+T285/T124</f>
        <v>2.4483787113551996</v>
      </c>
      <c r="U464" s="158">
        <f t="shared" ref="U464" si="1427">+U285/U106</f>
        <v>4.3007508681819226</v>
      </c>
      <c r="V464" s="158">
        <f t="shared" si="1423"/>
        <v>6.5938413620813332</v>
      </c>
      <c r="W464" s="180">
        <f t="shared" si="1423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428">+B286/B125</f>
        <v>7.0797118520079838</v>
      </c>
      <c r="C465" s="158">
        <f t="shared" si="1428"/>
        <v>4.5069231913211594</v>
      </c>
      <c r="D465" s="158">
        <f t="shared" si="1428"/>
        <v>5.2665853360291885</v>
      </c>
      <c r="E465" s="158">
        <f t="shared" si="1428"/>
        <v>1.4775267968698624</v>
      </c>
      <c r="F465" s="158">
        <f t="shared" si="1428"/>
        <v>3.2588016957332822</v>
      </c>
      <c r="G465" s="158">
        <f t="shared" si="1428"/>
        <v>3.8559187559504915</v>
      </c>
      <c r="H465" s="158">
        <f t="shared" si="1414"/>
        <v>5.2174926179579328</v>
      </c>
      <c r="I465" s="158">
        <f t="shared" ref="I465" si="1429">+I286/I107</f>
        <v>5.3528752965245996</v>
      </c>
      <c r="J465" s="180">
        <f t="shared" si="1424"/>
        <v>8.8527492704678856</v>
      </c>
      <c r="K465" s="180"/>
      <c r="L465" s="127"/>
      <c r="M465" s="2"/>
      <c r="N465" s="133" t="s">
        <v>8</v>
      </c>
      <c r="O465" s="158">
        <f t="shared" si="1420"/>
        <v>2.9234164422741458</v>
      </c>
      <c r="P465" s="158">
        <f t="shared" si="1420"/>
        <v>5.0057778053358746</v>
      </c>
      <c r="Q465" s="158">
        <f t="shared" si="1420"/>
        <v>4.9632515745643708</v>
      </c>
      <c r="R465" s="158">
        <f t="shared" si="1420"/>
        <v>2.0380333925390666</v>
      </c>
      <c r="S465" s="158">
        <f t="shared" si="1420"/>
        <v>2.1428642381730412</v>
      </c>
      <c r="T465" s="158">
        <f t="shared" ref="T465" si="1430">+T286/T125</f>
        <v>2.4281834408253005</v>
      </c>
      <c r="U465" s="158">
        <f t="shared" ref="U465" si="1431">+U286/U107</f>
        <v>4.4361408039377963</v>
      </c>
      <c r="V465" s="158">
        <f t="shared" si="1423"/>
        <v>6.4737302815987334</v>
      </c>
      <c r="W465" s="180">
        <f t="shared" si="1423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428"/>
        <v>18.248912225302469</v>
      </c>
      <c r="C466" s="158">
        <f t="shared" si="1428"/>
        <v>4.5461790950582461</v>
      </c>
      <c r="D466" s="158">
        <f t="shared" si="1428"/>
        <v>5.2969561810426251</v>
      </c>
      <c r="E466" s="158">
        <f t="shared" si="1428"/>
        <v>0.96718380168547324</v>
      </c>
      <c r="F466" s="158">
        <f t="shared" si="1428"/>
        <v>1.4185265125386617</v>
      </c>
      <c r="G466" s="158">
        <f t="shared" si="1428"/>
        <v>4.3073524464400652</v>
      </c>
      <c r="H466" s="158">
        <f t="shared" si="1414"/>
        <v>2.5772634148467812</v>
      </c>
      <c r="I466" s="158">
        <f t="shared" ref="I466" si="1432">+I287/I108</f>
        <v>6.8923943601862865</v>
      </c>
      <c r="J466" s="180">
        <f t="shared" si="1424"/>
        <v>4.8630384940267897</v>
      </c>
      <c r="K466" s="180"/>
      <c r="L466" s="127"/>
      <c r="M466" s="2"/>
      <c r="N466" s="133" t="s">
        <v>9</v>
      </c>
      <c r="O466" s="158">
        <f t="shared" si="1420"/>
        <v>3.1022799833920791</v>
      </c>
      <c r="P466" s="158">
        <f t="shared" si="1420"/>
        <v>4.5050926333324472</v>
      </c>
      <c r="Q466" s="158">
        <f t="shared" si="1420"/>
        <v>5.0606862198081419</v>
      </c>
      <c r="R466" s="158">
        <f t="shared" si="1420"/>
        <v>1.7117386610928016</v>
      </c>
      <c r="S466" s="158">
        <f t="shared" si="1420"/>
        <v>2.3275170909418912</v>
      </c>
      <c r="T466" s="158">
        <f t="shared" ref="T466" si="1433">+T287/T126</f>
        <v>2.7066377798694097</v>
      </c>
      <c r="U466" s="158">
        <f t="shared" ref="U466" si="1434">+U287/U108</f>
        <v>5.0292509755972423</v>
      </c>
      <c r="V466" s="158">
        <f t="shared" si="1423"/>
        <v>6.4502846802691352</v>
      </c>
      <c r="W466" s="180">
        <f t="shared" si="1423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428"/>
        <v>3.1022799833920787</v>
      </c>
      <c r="C467" s="182">
        <f t="shared" si="1428"/>
        <v>4.5050926333324472</v>
      </c>
      <c r="D467" s="182">
        <f t="shared" si="1428"/>
        <v>5.0606862198081419</v>
      </c>
      <c r="E467" s="182">
        <f t="shared" si="1428"/>
        <v>1.7117386610928016</v>
      </c>
      <c r="F467" s="182">
        <f t="shared" si="1428"/>
        <v>2.3275170909418912</v>
      </c>
      <c r="G467" s="182">
        <f t="shared" ref="G467" si="1435">+G288/G127</f>
        <v>2.7066377798694097</v>
      </c>
      <c r="H467" s="182">
        <f t="shared" ref="H467:I467" si="1436">+H288/H109</f>
        <v>5.0292509755972423</v>
      </c>
      <c r="I467" s="182">
        <f t="shared" si="1436"/>
        <v>6.4502846802691352</v>
      </c>
      <c r="J467" s="183">
        <f t="shared" ref="J467" si="1437">+J288/J109</f>
        <v>5.9126329175572936</v>
      </c>
      <c r="K467" s="183"/>
      <c r="L467" s="137"/>
      <c r="M467" s="3"/>
      <c r="N467" s="134" t="s">
        <v>14</v>
      </c>
      <c r="O467" s="182">
        <f t="shared" si="1420"/>
        <v>3.2370389494390728</v>
      </c>
      <c r="P467" s="182">
        <f t="shared" si="1420"/>
        <v>3.8186697140798724</v>
      </c>
      <c r="Q467" s="182">
        <f t="shared" si="1420"/>
        <v>4.7082796230291093</v>
      </c>
      <c r="R467" s="182">
        <f t="shared" si="1420"/>
        <v>3.4046332410801714</v>
      </c>
      <c r="S467" s="182">
        <f t="shared" si="1420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5.9107947312711557</v>
      </c>
      <c r="Y467" s="149">
        <f>+X467/W467-1</f>
        <v>-2.9817623591444131E-2</v>
      </c>
      <c r="Z467" s="156">
        <f>+POWER(X467/S467,0.2)-1</f>
        <v>0.28740492854502819</v>
      </c>
    </row>
    <row r="468" spans="1:26" ht="25.5" x14ac:dyDescent="0.25">
      <c r="A468" s="135" t="s">
        <v>15</v>
      </c>
      <c r="B468" s="138">
        <f t="shared" ref="B468:I468" si="1438">+B467/B$539</f>
        <v>0.98465393481238761</v>
      </c>
      <c r="C468" s="138">
        <f t="shared" si="1438"/>
        <v>1.2546041368431371</v>
      </c>
      <c r="D468" s="138">
        <f t="shared" si="1438"/>
        <v>1.6842656110357166</v>
      </c>
      <c r="E468" s="138">
        <f t="shared" si="1438"/>
        <v>0.65550275101661992</v>
      </c>
      <c r="F468" s="138">
        <f t="shared" si="1438"/>
        <v>1.1660556449113599</v>
      </c>
      <c r="G468" s="138">
        <f t="shared" si="1438"/>
        <v>0.94624731075733381</v>
      </c>
      <c r="H468" s="138">
        <f t="shared" si="1438"/>
        <v>1.5760015319894871</v>
      </c>
      <c r="I468" s="138">
        <f t="shared" si="1438"/>
        <v>1.8293373167759055</v>
      </c>
      <c r="J468" s="139">
        <f t="shared" ref="J468" si="1439">+J467/J$539</f>
        <v>1.6953434713309641</v>
      </c>
      <c r="K468" s="139"/>
      <c r="L468" s="140"/>
      <c r="M468" s="3"/>
      <c r="N468" s="135" t="s">
        <v>15</v>
      </c>
      <c r="O468" s="138">
        <f t="shared" ref="O468:T468" si="1440">+O467/O$539</f>
        <v>1.0413530233353216</v>
      </c>
      <c r="P468" s="138">
        <f t="shared" si="1440"/>
        <v>1.1332935455349566</v>
      </c>
      <c r="Q468" s="138">
        <f t="shared" si="1440"/>
        <v>1.3696173435408101</v>
      </c>
      <c r="R468" s="138">
        <f t="shared" si="1440"/>
        <v>1.2346274353395645</v>
      </c>
      <c r="S468" s="138">
        <f t="shared" si="1440"/>
        <v>0.79193900000948525</v>
      </c>
      <c r="T468" s="138">
        <f t="shared" si="1440"/>
        <v>0.96979043588887881</v>
      </c>
      <c r="U468" s="138">
        <f t="shared" ref="U468:X468" si="1441">+U467/U$539</f>
        <v>0.75021770246414154</v>
      </c>
      <c r="V468" s="138">
        <f t="shared" si="1441"/>
        <v>0.52294535238956386</v>
      </c>
      <c r="W468" s="139">
        <f t="shared" si="1441"/>
        <v>1.7370194869614237</v>
      </c>
      <c r="X468" s="139">
        <f t="shared" si="1441"/>
        <v>1.6931323505702727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442">+D467/C467-1</f>
        <v>0.12332567423030283</v>
      </c>
      <c r="E469" s="142">
        <f t="shared" si="1442"/>
        <v>-0.66175759832869141</v>
      </c>
      <c r="F469" s="142">
        <f t="shared" si="1442"/>
        <v>0.35973857683156307</v>
      </c>
      <c r="G469" s="142">
        <f t="shared" si="1442"/>
        <v>0.1628863179578619</v>
      </c>
      <c r="H469" s="142">
        <f t="shared" si="1442"/>
        <v>0.85811748177101643</v>
      </c>
      <c r="I469" s="142">
        <f t="shared" ref="I469:J469" si="1443">+I467/H467-1</f>
        <v>0.28255374638628772</v>
      </c>
      <c r="J469" s="143">
        <f t="shared" si="1443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444">+Q467/P467-1</f>
        <v>0.23296330281436584</v>
      </c>
      <c r="R469" s="142">
        <f t="shared" si="1444"/>
        <v>-0.27688380604511054</v>
      </c>
      <c r="S469" s="142">
        <f t="shared" si="1444"/>
        <v>-0.50909245674820625</v>
      </c>
      <c r="T469" s="142">
        <f t="shared" si="1444"/>
        <v>0.4346983458450695</v>
      </c>
      <c r="U469" s="142">
        <f t="shared" si="1444"/>
        <v>-5.3784679373929056E-2</v>
      </c>
      <c r="V469" s="142">
        <f t="shared" si="1444"/>
        <v>-0.21757723261774131</v>
      </c>
      <c r="W469" s="143">
        <f t="shared" ref="W469" si="1445">+W467/V467-1</f>
        <v>2.4318666402658895</v>
      </c>
      <c r="X469" s="143">
        <f t="shared" ref="X469" si="1446">+X467/W467-1</f>
        <v>-2.9817623591444131E-2</v>
      </c>
      <c r="Y469" s="144"/>
      <c r="Z469" s="145"/>
    </row>
    <row r="470" spans="1:26" ht="15.75" thickBot="1" x14ac:dyDescent="0.3"/>
    <row r="471" spans="1:26" ht="15.75" thickBot="1" x14ac:dyDescent="0.3">
      <c r="A471" s="373" t="s">
        <v>149</v>
      </c>
      <c r="B471" s="374"/>
      <c r="C471" s="374"/>
      <c r="D471" s="374"/>
      <c r="E471" s="374"/>
      <c r="F471" s="374"/>
      <c r="G471" s="374"/>
      <c r="H471" s="374"/>
      <c r="I471" s="374"/>
      <c r="J471" s="374"/>
      <c r="K471" s="374"/>
      <c r="L471" s="375"/>
      <c r="M471" s="2"/>
      <c r="N471" s="373" t="s">
        <v>150</v>
      </c>
      <c r="O471" s="374"/>
      <c r="P471" s="374"/>
      <c r="Q471" s="374"/>
      <c r="R471" s="374"/>
      <c r="S471" s="374"/>
      <c r="T471" s="374"/>
      <c r="U471" s="374"/>
      <c r="V471" s="374"/>
      <c r="W471" s="374"/>
      <c r="X471" s="374"/>
      <c r="Y471" s="374"/>
      <c r="Z471" s="375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447">+C472+1</f>
        <v>2018</v>
      </c>
      <c r="E472" s="129">
        <f t="shared" ref="E472" si="1448">+D472+1</f>
        <v>2019</v>
      </c>
      <c r="F472" s="129">
        <f t="shared" ref="F472" si="1449">+E472+1</f>
        <v>2020</v>
      </c>
      <c r="G472" s="129">
        <f t="shared" ref="G472" si="1450">+F472+1</f>
        <v>2021</v>
      </c>
      <c r="H472" s="129">
        <f t="shared" ref="H472" si="1451">+G472+1</f>
        <v>2022</v>
      </c>
      <c r="I472" s="129">
        <f t="shared" ref="I472" si="1452">+H472+1</f>
        <v>2023</v>
      </c>
      <c r="J472" s="130">
        <f t="shared" ref="J472:K472" si="1453">+I472+1</f>
        <v>2024</v>
      </c>
      <c r="K472" s="130">
        <f t="shared" si="1453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454">+P472+1</f>
        <v>2018</v>
      </c>
      <c r="R472" s="129">
        <f t="shared" si="1454"/>
        <v>2019</v>
      </c>
      <c r="S472" s="129">
        <f t="shared" si="1454"/>
        <v>2020</v>
      </c>
      <c r="T472" s="129">
        <f t="shared" si="1454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455">+B294/B115</f>
        <v>3.2486245742729891</v>
      </c>
      <c r="C473" s="158">
        <f t="shared" si="1455"/>
        <v>3.2822835520327946</v>
      </c>
      <c r="D473" s="158">
        <f t="shared" si="1455"/>
        <v>2.3969552190460766</v>
      </c>
      <c r="E473" s="158">
        <f t="shared" si="1455"/>
        <v>1.3976589947448022</v>
      </c>
      <c r="F473" s="158">
        <f t="shared" si="1455"/>
        <v>0.76845176849396435</v>
      </c>
      <c r="G473" s="158">
        <f t="shared" si="1455"/>
        <v>2.9401781536965514</v>
      </c>
      <c r="H473" s="158">
        <f t="shared" si="1455"/>
        <v>3.2493055919501073</v>
      </c>
      <c r="I473" s="158">
        <f t="shared" si="1455"/>
        <v>4.2956606633609944</v>
      </c>
      <c r="J473" s="180">
        <f t="shared" si="1455"/>
        <v>3.7686448746429697</v>
      </c>
      <c r="K473" s="180">
        <f t="shared" ref="K473:K478" si="1456">+K294/K115</f>
        <v>4.076490481801895</v>
      </c>
      <c r="L473" s="127">
        <f t="shared" ref="L473:L478" si="1457">+K473/J473-1</f>
        <v>8.1686021739602044E-2</v>
      </c>
      <c r="M473" s="2"/>
      <c r="N473" s="133" t="s">
        <v>10</v>
      </c>
      <c r="O473" s="158">
        <f t="shared" ref="O473:T482" si="1458">+O294/O133</f>
        <v>3.019398663660871</v>
      </c>
      <c r="P473" s="158">
        <f t="shared" si="1458"/>
        <v>1.8313881452590088</v>
      </c>
      <c r="Q473" s="158">
        <f t="shared" si="1458"/>
        <v>1.7927207183847504</v>
      </c>
      <c r="R473" s="158">
        <f t="shared" si="1458"/>
        <v>1.8025801292132089</v>
      </c>
      <c r="S473" s="158">
        <f t="shared" si="1458"/>
        <v>1.7753206812218434</v>
      </c>
      <c r="T473" s="158">
        <f t="shared" si="1458"/>
        <v>1.2580207922973685</v>
      </c>
      <c r="U473" s="158">
        <f t="shared" ref="U473:X478" si="1459">+U294/U115</f>
        <v>2.5707303889747752</v>
      </c>
      <c r="V473" s="158">
        <f t="shared" si="1459"/>
        <v>3.442653774472237</v>
      </c>
      <c r="W473" s="180">
        <f t="shared" si="1459"/>
        <v>3.32974042384126</v>
      </c>
      <c r="X473" s="180">
        <f t="shared" si="1459"/>
        <v>3.4961682052061267</v>
      </c>
      <c r="Y473" s="147">
        <f t="shared" ref="Y473:Y478" si="1460">+X473/W473-1</f>
        <v>4.9982208875270828E-2</v>
      </c>
      <c r="Z473" s="127">
        <f t="shared" ref="Z473:Z478" si="1461">+POWER(X473/S473,0.2)-1</f>
        <v>0.14515190878416906</v>
      </c>
    </row>
    <row r="474" spans="1:26" x14ac:dyDescent="0.25">
      <c r="A474" s="133" t="s">
        <v>11</v>
      </c>
      <c r="B474" s="158">
        <f t="shared" ref="B474:J474" si="1462">+B295/B116</f>
        <v>3.1629630517946441</v>
      </c>
      <c r="C474" s="158">
        <f t="shared" si="1462"/>
        <v>2.3428414353075508</v>
      </c>
      <c r="D474" s="158">
        <f t="shared" si="1462"/>
        <v>2.8502793411615492</v>
      </c>
      <c r="E474" s="158">
        <f t="shared" si="1462"/>
        <v>5.1015476484550364</v>
      </c>
      <c r="F474" s="158">
        <f t="shared" si="1462"/>
        <v>3.13187470223464</v>
      </c>
      <c r="G474" s="158">
        <f t="shared" si="1462"/>
        <v>3.2708848491758653</v>
      </c>
      <c r="H474" s="158">
        <f t="shared" si="1462"/>
        <v>3.3012478651494224</v>
      </c>
      <c r="I474" s="158">
        <f t="shared" si="1462"/>
        <v>3.3880639850157848</v>
      </c>
      <c r="J474" s="180">
        <f t="shared" si="1462"/>
        <v>3.4644797294263778</v>
      </c>
      <c r="K474" s="180">
        <f t="shared" si="1456"/>
        <v>3.0607039619112393</v>
      </c>
      <c r="L474" s="127">
        <f t="shared" si="1457"/>
        <v>-0.11654730263986646</v>
      </c>
      <c r="M474" s="2"/>
      <c r="N474" s="133" t="s">
        <v>11</v>
      </c>
      <c r="O474" s="158">
        <f t="shared" si="1458"/>
        <v>2.9559562896450999</v>
      </c>
      <c r="P474" s="158">
        <f t="shared" si="1458"/>
        <v>1.7648719829141664</v>
      </c>
      <c r="Q474" s="158">
        <f t="shared" si="1458"/>
        <v>1.8209319761699228</v>
      </c>
      <c r="R474" s="158">
        <f t="shared" si="1458"/>
        <v>1.8135496406862981</v>
      </c>
      <c r="S474" s="158">
        <f t="shared" si="1458"/>
        <v>1.7632225646275583</v>
      </c>
      <c r="T474" s="158">
        <f t="shared" si="1458"/>
        <v>1.3063088428916581</v>
      </c>
      <c r="U474" s="158">
        <f t="shared" si="1459"/>
        <v>2.5658260146388874</v>
      </c>
      <c r="V474" s="158">
        <f t="shared" si="1459"/>
        <v>3.4482747060328216</v>
      </c>
      <c r="W474" s="180">
        <f t="shared" si="1459"/>
        <v>3.329382128234164</v>
      </c>
      <c r="X474" s="180">
        <f t="shared" si="1459"/>
        <v>3.4674784596830448</v>
      </c>
      <c r="Y474" s="147">
        <f t="shared" si="1460"/>
        <v>4.1478065938356012E-2</v>
      </c>
      <c r="Z474" s="127">
        <f t="shared" si="1461"/>
        <v>0.14483085904710591</v>
      </c>
    </row>
    <row r="475" spans="1:26" x14ac:dyDescent="0.25">
      <c r="A475" s="133" t="s">
        <v>0</v>
      </c>
      <c r="B475" s="158">
        <f t="shared" ref="B475:J475" si="1463">+B296/B117</f>
        <v>3.6221137035027429</v>
      </c>
      <c r="C475" s="158">
        <f t="shared" si="1463"/>
        <v>2.8899665677216633</v>
      </c>
      <c r="D475" s="158">
        <f t="shared" si="1463"/>
        <v>2.369064861044059</v>
      </c>
      <c r="E475" s="158">
        <f t="shared" si="1463"/>
        <v>3.8548552217489669</v>
      </c>
      <c r="F475" s="158">
        <f t="shared" si="1463"/>
        <v>0.83056630519786168</v>
      </c>
      <c r="G475" s="158">
        <f t="shared" si="1463"/>
        <v>2.1229617886644911</v>
      </c>
      <c r="H475" s="158">
        <f t="shared" si="1463"/>
        <v>3.3737817266259276</v>
      </c>
      <c r="I475" s="158">
        <f t="shared" si="1463"/>
        <v>3.241333671349508</v>
      </c>
      <c r="J475" s="180">
        <f t="shared" si="1463"/>
        <v>4.3509552473174571</v>
      </c>
      <c r="K475" s="180">
        <f t="shared" si="1456"/>
        <v>3.8618682487267031</v>
      </c>
      <c r="L475" s="127">
        <f t="shared" si="1457"/>
        <v>-0.11240910806708393</v>
      </c>
      <c r="M475" s="2"/>
      <c r="N475" s="133" t="s">
        <v>0</v>
      </c>
      <c r="O475" s="158">
        <f t="shared" si="1458"/>
        <v>2.4509478968521039</v>
      </c>
      <c r="P475" s="158">
        <f t="shared" si="1458"/>
        <v>1.879329382719364</v>
      </c>
      <c r="Q475" s="158">
        <f t="shared" si="1458"/>
        <v>1.6469560837151793</v>
      </c>
      <c r="R475" s="158">
        <f t="shared" si="1458"/>
        <v>2.0050976763606072</v>
      </c>
      <c r="S475" s="158">
        <f t="shared" si="1458"/>
        <v>1.7097640756027621</v>
      </c>
      <c r="T475" s="158">
        <f t="shared" si="1458"/>
        <v>1.3292620687594106</v>
      </c>
      <c r="U475" s="158">
        <f t="shared" si="1459"/>
        <v>2.6854225288610971</v>
      </c>
      <c r="V475" s="158">
        <f t="shared" si="1459"/>
        <v>3.4403968184966791</v>
      </c>
      <c r="W475" s="180">
        <f t="shared" si="1459"/>
        <v>3.3904585641206162</v>
      </c>
      <c r="X475" s="180">
        <f t="shared" si="1459"/>
        <v>3.4422232809388142</v>
      </c>
      <c r="Y475" s="147">
        <f t="shared" si="1460"/>
        <v>1.5267762705020393E-2</v>
      </c>
      <c r="Z475" s="127">
        <f t="shared" si="1461"/>
        <v>0.15021908662782146</v>
      </c>
    </row>
    <row r="476" spans="1:26" x14ac:dyDescent="0.25">
      <c r="A476" s="133" t="s">
        <v>1</v>
      </c>
      <c r="B476" s="158">
        <f t="shared" ref="B476:J476" si="1464">+B297/B118</f>
        <v>4.3372419303885676</v>
      </c>
      <c r="C476" s="158">
        <f t="shared" si="1464"/>
        <v>1.6601446697497926</v>
      </c>
      <c r="D476" s="158">
        <f t="shared" si="1464"/>
        <v>2.9670478641092077</v>
      </c>
      <c r="E476" s="158">
        <f t="shared" si="1464"/>
        <v>5.2026220974369481</v>
      </c>
      <c r="F476" s="158">
        <f t="shared" si="1464"/>
        <v>3.3146544404822551</v>
      </c>
      <c r="G476" s="158">
        <f t="shared" si="1464"/>
        <v>3.1166878582257724</v>
      </c>
      <c r="H476" s="158">
        <f t="shared" si="1464"/>
        <v>2.7634420589764517</v>
      </c>
      <c r="I476" s="158">
        <f t="shared" si="1464"/>
        <v>3.4560300945792539</v>
      </c>
      <c r="J476" s="180">
        <f t="shared" si="1464"/>
        <v>3.2900224695458751</v>
      </c>
      <c r="K476" s="180">
        <f t="shared" si="1456"/>
        <v>3.7266835672785739</v>
      </c>
      <c r="L476" s="127">
        <f t="shared" si="1457"/>
        <v>0.13272283146229436</v>
      </c>
      <c r="M476" s="2"/>
      <c r="N476" s="133" t="s">
        <v>1</v>
      </c>
      <c r="O476" s="158">
        <f t="shared" si="1458"/>
        <v>2.1901903059690917</v>
      </c>
      <c r="P476" s="158">
        <f t="shared" si="1458"/>
        <v>1.9010710071279915</v>
      </c>
      <c r="Q476" s="158">
        <f t="shared" si="1458"/>
        <v>1.6851687746717152</v>
      </c>
      <c r="R476" s="158">
        <f t="shared" si="1458"/>
        <v>1.9905981824402543</v>
      </c>
      <c r="S476" s="158">
        <f t="shared" si="1458"/>
        <v>1.6239877904741686</v>
      </c>
      <c r="T476" s="158">
        <f t="shared" si="1458"/>
        <v>1.4218138285825219</v>
      </c>
      <c r="U476" s="158">
        <f t="shared" si="1459"/>
        <v>2.66817480123906</v>
      </c>
      <c r="V476" s="158">
        <f t="shared" si="1459"/>
        <v>3.522602293400797</v>
      </c>
      <c r="W476" s="180">
        <f t="shared" ref="W476" si="1465">+W297/W118</f>
        <v>3.374379404314062</v>
      </c>
      <c r="X476" s="180">
        <f t="shared" si="1459"/>
        <v>3.4797822676318426</v>
      </c>
      <c r="Y476" s="147">
        <f t="shared" si="1460"/>
        <v>3.123622174288565E-2</v>
      </c>
      <c r="Z476" s="127">
        <f t="shared" si="1461"/>
        <v>0.1646457928376126</v>
      </c>
    </row>
    <row r="477" spans="1:26" x14ac:dyDescent="0.25">
      <c r="A477" s="133" t="s">
        <v>2</v>
      </c>
      <c r="B477" s="158">
        <f t="shared" ref="B477:J479" si="1466">+B298/B119</f>
        <v>3.8548404261608864</v>
      </c>
      <c r="C477" s="158">
        <f t="shared" si="1466"/>
        <v>4.5185641007413198</v>
      </c>
      <c r="D477" s="158">
        <f t="shared" si="1466"/>
        <v>2.6181295988745252</v>
      </c>
      <c r="E477" s="158">
        <f t="shared" si="1466"/>
        <v>3.7232176926071388</v>
      </c>
      <c r="F477" s="158">
        <f t="shared" si="1466"/>
        <v>3.1222057000014822</v>
      </c>
      <c r="G477" s="158">
        <f t="shared" si="1466"/>
        <v>1.2967293886264857</v>
      </c>
      <c r="H477" s="158">
        <f t="shared" si="1466"/>
        <v>3.7470820101136053</v>
      </c>
      <c r="I477" s="158">
        <f t="shared" si="1466"/>
        <v>3.1443183031586308</v>
      </c>
      <c r="J477" s="180">
        <f t="shared" si="1466"/>
        <v>3.3228127405085193</v>
      </c>
      <c r="K477" s="180">
        <f t="shared" si="1456"/>
        <v>3.5201206898522237</v>
      </c>
      <c r="L477" s="127">
        <f t="shared" si="1457"/>
        <v>5.9379798006164108E-2</v>
      </c>
      <c r="M477" s="2"/>
      <c r="N477" s="133" t="s">
        <v>2</v>
      </c>
      <c r="O477" s="158">
        <f t="shared" si="1458"/>
        <v>2.096494772766373</v>
      </c>
      <c r="P477" s="158">
        <f t="shared" si="1458"/>
        <v>1.9063400784018281</v>
      </c>
      <c r="Q477" s="158">
        <f t="shared" si="1458"/>
        <v>1.6876025158168479</v>
      </c>
      <c r="R477" s="158">
        <f t="shared" si="1458"/>
        <v>1.9217041255590444</v>
      </c>
      <c r="S477" s="158">
        <f t="shared" si="1458"/>
        <v>1.4115772627247007</v>
      </c>
      <c r="T477" s="158">
        <f t="shared" si="1458"/>
        <v>1.5279693699079595</v>
      </c>
      <c r="U477" s="158">
        <f t="shared" si="1459"/>
        <v>3.1037485166358811</v>
      </c>
      <c r="V477" s="158">
        <f t="shared" si="1459"/>
        <v>3.4628338923509574</v>
      </c>
      <c r="W477" s="180">
        <f t="shared" ref="W477:W481" si="1467">+W298/W119</f>
        <v>3.3987532276703645</v>
      </c>
      <c r="X477" s="180">
        <f t="shared" si="1459"/>
        <v>3.5003429627351075</v>
      </c>
      <c r="Y477" s="147">
        <f t="shared" si="1460"/>
        <v>2.9890294546149443E-2</v>
      </c>
      <c r="Z477" s="127">
        <f t="shared" si="1461"/>
        <v>0.19917119766680291</v>
      </c>
    </row>
    <row r="478" spans="1:26" x14ac:dyDescent="0.25">
      <c r="A478" s="133" t="s">
        <v>3</v>
      </c>
      <c r="B478" s="158">
        <f t="shared" ref="B478:I478" si="1468">+B299/B120</f>
        <v>5.2778124090927978</v>
      </c>
      <c r="C478" s="158">
        <f t="shared" si="1468"/>
        <v>3.1359840305096132</v>
      </c>
      <c r="D478" s="158">
        <f t="shared" si="1468"/>
        <v>6.0296868546996096</v>
      </c>
      <c r="E478" s="158">
        <f t="shared" si="1468"/>
        <v>5.7496697711530862</v>
      </c>
      <c r="F478" s="158">
        <f t="shared" si="1468"/>
        <v>3.4115527582039178</v>
      </c>
      <c r="G478" s="158">
        <f t="shared" si="1468"/>
        <v>3.4376273488793299</v>
      </c>
      <c r="H478" s="158">
        <f t="shared" si="1468"/>
        <v>3.194298408089395</v>
      </c>
      <c r="I478" s="158">
        <f t="shared" si="1468"/>
        <v>2.7043733580590326</v>
      </c>
      <c r="J478" s="180">
        <f t="shared" si="1466"/>
        <v>2.8930133727049174</v>
      </c>
      <c r="K478" s="180">
        <f t="shared" si="1456"/>
        <v>3.1096504474717444</v>
      </c>
      <c r="L478" s="127">
        <f t="shared" si="1457"/>
        <v>7.4882845966340872E-2</v>
      </c>
      <c r="M478" s="2"/>
      <c r="N478" s="133" t="s">
        <v>3</v>
      </c>
      <c r="O478" s="158">
        <f t="shared" si="1458"/>
        <v>1.8108091104224509</v>
      </c>
      <c r="P478" s="158">
        <f t="shared" si="1458"/>
        <v>1.975050934252089</v>
      </c>
      <c r="Q478" s="158">
        <f t="shared" si="1458"/>
        <v>1.8015616416149574</v>
      </c>
      <c r="R478" s="158">
        <f t="shared" si="1458"/>
        <v>1.8931593896211081</v>
      </c>
      <c r="S478" s="158">
        <f t="shared" si="1458"/>
        <v>1.1763324171421248</v>
      </c>
      <c r="T478" s="158">
        <f t="shared" si="1458"/>
        <v>1.8656077433386111</v>
      </c>
      <c r="U478" s="158">
        <f t="shared" ref="U478" si="1469">+U299/U120</f>
        <v>3.0904481881868118</v>
      </c>
      <c r="V478" s="158">
        <f t="shared" si="1459"/>
        <v>3.4042135400758404</v>
      </c>
      <c r="W478" s="180">
        <f t="shared" si="1467"/>
        <v>3.4546555352570381</v>
      </c>
      <c r="X478" s="180">
        <f t="shared" si="1459"/>
        <v>3.5276935212261642</v>
      </c>
      <c r="Y478" s="147">
        <f t="shared" si="1460"/>
        <v>2.1141901189199785E-2</v>
      </c>
      <c r="Z478" s="127">
        <f t="shared" si="1461"/>
        <v>0.24563888303495274</v>
      </c>
    </row>
    <row r="479" spans="1:26" x14ac:dyDescent="0.25">
      <c r="A479" s="133" t="s">
        <v>4</v>
      </c>
      <c r="B479" s="158">
        <f t="shared" ref="B479:I479" si="1470">+B300/B121</f>
        <v>3.4505417724888261</v>
      </c>
      <c r="C479" s="158">
        <f t="shared" si="1470"/>
        <v>10.142690725348617</v>
      </c>
      <c r="D479" s="158">
        <f t="shared" si="1470"/>
        <v>6.2044483980756082</v>
      </c>
      <c r="E479" s="158">
        <f t="shared" si="1470"/>
        <v>7.7158979700169317</v>
      </c>
      <c r="F479" s="158">
        <f t="shared" si="1470"/>
        <v>3.0695676126985076</v>
      </c>
      <c r="G479" s="158">
        <f t="shared" si="1470"/>
        <v>3.6299172716528791</v>
      </c>
      <c r="H479" s="158">
        <f t="shared" si="1470"/>
        <v>3.3802241071548078</v>
      </c>
      <c r="I479" s="158">
        <f t="shared" si="1470"/>
        <v>2.9348237677512157</v>
      </c>
      <c r="J479" s="180">
        <f t="shared" si="1466"/>
        <v>3.3365052548575997</v>
      </c>
      <c r="K479" s="180"/>
      <c r="L479" s="127"/>
      <c r="M479" s="2"/>
      <c r="N479" s="133" t="s">
        <v>4</v>
      </c>
      <c r="O479" s="158">
        <f t="shared" si="1458"/>
        <v>1.6851418618397189</v>
      </c>
      <c r="P479" s="158">
        <f t="shared" si="1458"/>
        <v>2.111859659518613</v>
      </c>
      <c r="Q479" s="158">
        <f t="shared" si="1458"/>
        <v>1.7005667050840561</v>
      </c>
      <c r="R479" s="158">
        <f t="shared" si="1458"/>
        <v>1.9632411208204097</v>
      </c>
      <c r="S479" s="158">
        <f t="shared" si="1458"/>
        <v>1.1610264677576998</v>
      </c>
      <c r="T479" s="158">
        <f t="shared" si="1458"/>
        <v>1.7471577475519464</v>
      </c>
      <c r="U479" s="158">
        <f t="shared" ref="U479:V479" si="1471">+U300/U121</f>
        <v>3.0802654527520343</v>
      </c>
      <c r="V479" s="158">
        <f t="shared" si="1471"/>
        <v>3.3371492438483426</v>
      </c>
      <c r="W479" s="180">
        <f t="shared" si="1467"/>
        <v>3.5488224626826277</v>
      </c>
      <c r="X479" s="180"/>
      <c r="Y479" s="147"/>
      <c r="Z479" s="127"/>
    </row>
    <row r="480" spans="1:26" x14ac:dyDescent="0.25">
      <c r="A480" s="133" t="s">
        <v>5</v>
      </c>
      <c r="B480" s="158">
        <f t="shared" ref="B480:J480" si="1472">+B301/B122</f>
        <v>3.3600662705591313</v>
      </c>
      <c r="C480" s="158">
        <f t="shared" si="1472"/>
        <v>8.7530790698497931</v>
      </c>
      <c r="D480" s="158">
        <f t="shared" si="1472"/>
        <v>4.1159243507178962</v>
      </c>
      <c r="E480" s="158">
        <f t="shared" si="1472"/>
        <v>2.2257658360123482</v>
      </c>
      <c r="F480" s="158">
        <f t="shared" si="1472"/>
        <v>2.9803225386288972</v>
      </c>
      <c r="G480" s="158">
        <f t="shared" si="1472"/>
        <v>3.2067305310471865</v>
      </c>
      <c r="H480" s="158">
        <f t="shared" si="1472"/>
        <v>3.0791947159130948</v>
      </c>
      <c r="I480" s="158">
        <f t="shared" si="1472"/>
        <v>3.6171077528620854</v>
      </c>
      <c r="J480" s="180">
        <f t="shared" si="1472"/>
        <v>3.1415161820343984</v>
      </c>
      <c r="K480" s="180"/>
      <c r="L480" s="127"/>
      <c r="M480" s="2"/>
      <c r="N480" s="133" t="s">
        <v>5</v>
      </c>
      <c r="O480" s="158">
        <f t="shared" si="1458"/>
        <v>1.8630314643331616</v>
      </c>
      <c r="P480" s="158">
        <f t="shared" si="1458"/>
        <v>2.0348877114885271</v>
      </c>
      <c r="Q480" s="158">
        <f t="shared" si="1458"/>
        <v>1.5296010954729515</v>
      </c>
      <c r="R480" s="158">
        <f t="shared" si="1458"/>
        <v>2.2216537287957103</v>
      </c>
      <c r="S480" s="158">
        <f t="shared" si="1458"/>
        <v>1.0468713507044141</v>
      </c>
      <c r="T480" s="158">
        <f t="shared" si="1458"/>
        <v>1.6729022525549948</v>
      </c>
      <c r="U480" s="158">
        <f t="shared" ref="U480:W484" si="1473">+U301/U122</f>
        <v>3.0743187157907603</v>
      </c>
      <c r="V480" s="158">
        <f t="shared" si="1473"/>
        <v>3.4031282873403894</v>
      </c>
      <c r="W480" s="180">
        <f t="shared" si="1467"/>
        <v>3.4876531164782847</v>
      </c>
      <c r="X480" s="180"/>
      <c r="Y480" s="147"/>
      <c r="Z480" s="127"/>
    </row>
    <row r="481" spans="1:26" x14ac:dyDescent="0.25">
      <c r="A481" s="133" t="s">
        <v>6</v>
      </c>
      <c r="B481" s="158">
        <f t="shared" ref="B481:H481" si="1474">+B302/B123</f>
        <v>3.4564515285002946</v>
      </c>
      <c r="C481" s="158">
        <f t="shared" si="1474"/>
        <v>2.7600036940776018</v>
      </c>
      <c r="D481" s="158">
        <f t="shared" si="1474"/>
        <v>13.610281534176705</v>
      </c>
      <c r="E481" s="158">
        <f t="shared" si="1474"/>
        <v>0.43875270156183255</v>
      </c>
      <c r="F481" s="158">
        <f t="shared" si="1474"/>
        <v>3.4446160698209938</v>
      </c>
      <c r="G481" s="158">
        <f t="shared" si="1474"/>
        <v>4.1508716606841336</v>
      </c>
      <c r="H481" s="158">
        <f t="shared" si="1474"/>
        <v>3.7089848938619534</v>
      </c>
      <c r="I481" s="158">
        <f>+I302/I123</f>
        <v>3.9824543686251093</v>
      </c>
      <c r="J481" s="180">
        <f t="shared" ref="J481:J484" si="1475">+J302/J123</f>
        <v>3.6149165867477282</v>
      </c>
      <c r="K481" s="180"/>
      <c r="L481" s="127"/>
      <c r="M481" s="2"/>
      <c r="N481" s="133" t="s">
        <v>6</v>
      </c>
      <c r="O481" s="158">
        <f t="shared" si="1458"/>
        <v>1.9987953264553393</v>
      </c>
      <c r="P481" s="158">
        <f t="shared" si="1458"/>
        <v>1.7328200513700625</v>
      </c>
      <c r="Q481" s="158">
        <f t="shared" si="1458"/>
        <v>1.9341361915077124</v>
      </c>
      <c r="R481" s="158">
        <f t="shared" si="1458"/>
        <v>1.7304203973850452</v>
      </c>
      <c r="S481" s="158">
        <f t="shared" si="1458"/>
        <v>1.0980556673728392</v>
      </c>
      <c r="T481" s="158">
        <f t="shared" si="1458"/>
        <v>1.8036523116031431</v>
      </c>
      <c r="U481" s="158">
        <f t="shared" ref="U481" si="1476">+U302/U123</f>
        <v>3.0819666255508031</v>
      </c>
      <c r="V481" s="158">
        <f t="shared" si="1473"/>
        <v>3.4024200710621821</v>
      </c>
      <c r="W481" s="180">
        <f t="shared" si="1467"/>
        <v>3.4661556293784299</v>
      </c>
      <c r="X481" s="180"/>
      <c r="Y481" s="147"/>
      <c r="Z481" s="127"/>
    </row>
    <row r="482" spans="1:26" x14ac:dyDescent="0.25">
      <c r="A482" s="133" t="s">
        <v>7</v>
      </c>
      <c r="B482" s="158">
        <f t="shared" ref="B482:I482" si="1477">+B303/B124</f>
        <v>3.7264747939680016</v>
      </c>
      <c r="C482" s="158">
        <f t="shared" si="1477"/>
        <v>3.4707551155912353</v>
      </c>
      <c r="D482" s="158">
        <f t="shared" si="1477"/>
        <v>5.5718701507667863</v>
      </c>
      <c r="E482" s="158">
        <f t="shared" si="1477"/>
        <v>0.3071998241432134</v>
      </c>
      <c r="F482" s="158">
        <f t="shared" si="1477"/>
        <v>1.8432496681675532</v>
      </c>
      <c r="G482" s="158">
        <f t="shared" si="1477"/>
        <v>1.7302622477431573</v>
      </c>
      <c r="H482" s="158">
        <f t="shared" si="1477"/>
        <v>4.5964246602810297</v>
      </c>
      <c r="I482" s="158">
        <f t="shared" si="1477"/>
        <v>4.1363504074505233</v>
      </c>
      <c r="J482" s="180">
        <f t="shared" si="1475"/>
        <v>4.1454594507655358</v>
      </c>
      <c r="K482" s="180"/>
      <c r="L482" s="127"/>
      <c r="M482" s="2"/>
      <c r="N482" s="133" t="s">
        <v>7</v>
      </c>
      <c r="O482" s="158">
        <f t="shared" si="1458"/>
        <v>1.8875743182479554</v>
      </c>
      <c r="P482" s="158">
        <f t="shared" si="1458"/>
        <v>1.785946024933623</v>
      </c>
      <c r="Q482" s="158">
        <f t="shared" si="1458"/>
        <v>1.9826280146921607</v>
      </c>
      <c r="R482" s="158">
        <f t="shared" si="1458"/>
        <v>1.63335427334268</v>
      </c>
      <c r="S482" s="158">
        <f t="shared" si="1458"/>
        <v>1.1526135962324588</v>
      </c>
      <c r="T482" s="158">
        <f t="shared" si="1458"/>
        <v>1.9364763581480531</v>
      </c>
      <c r="U482" s="158">
        <f t="shared" ref="U482" si="1478">+U303/U124</f>
        <v>3.3871982604693942</v>
      </c>
      <c r="V482" s="158">
        <f t="shared" si="1473"/>
        <v>3.3849024313677836</v>
      </c>
      <c r="W482" s="180">
        <f t="shared" si="1473"/>
        <v>3.4289280716625119</v>
      </c>
      <c r="X482" s="180"/>
      <c r="Y482" s="147"/>
      <c r="Z482" s="127"/>
    </row>
    <row r="483" spans="1:26" x14ac:dyDescent="0.25">
      <c r="A483" s="133" t="s">
        <v>8</v>
      </c>
      <c r="B483" s="158">
        <f t="shared" ref="B483:I483" si="1479">+B304/B125</f>
        <v>4.4294694555689187</v>
      </c>
      <c r="C483" s="158">
        <f t="shared" si="1479"/>
        <v>3.1700310741317637</v>
      </c>
      <c r="D483" s="158">
        <f t="shared" si="1479"/>
        <v>2.7840102829225568</v>
      </c>
      <c r="E483" s="158">
        <f t="shared" si="1479"/>
        <v>1.3055939150829661</v>
      </c>
      <c r="F483" s="158">
        <f t="shared" si="1479"/>
        <v>1.206993333831228</v>
      </c>
      <c r="G483" s="158">
        <f t="shared" si="1479"/>
        <v>3.7783419725660279</v>
      </c>
      <c r="H483" s="158">
        <f t="shared" si="1479"/>
        <v>4.8424739580488838</v>
      </c>
      <c r="I483" s="158">
        <f t="shared" si="1479"/>
        <v>4.2168864272901789</v>
      </c>
      <c r="J483" s="180">
        <f t="shared" si="1475"/>
        <v>4.7078533297919849</v>
      </c>
      <c r="K483" s="180"/>
      <c r="L483" s="127"/>
      <c r="M483" s="2"/>
      <c r="N483" s="133" t="s">
        <v>8</v>
      </c>
      <c r="O483" s="158">
        <f t="shared" ref="O483:S485" si="1480">+O304/O143</f>
        <v>1.9590936712086688</v>
      </c>
      <c r="P483" s="158">
        <f t="shared" si="1480"/>
        <v>1.8194615636266298</v>
      </c>
      <c r="Q483" s="158">
        <f t="shared" si="1480"/>
        <v>1.8565152034270171</v>
      </c>
      <c r="R483" s="158">
        <f t="shared" si="1480"/>
        <v>1.6887251771924103</v>
      </c>
      <c r="S483" s="158">
        <f t="shared" si="1480"/>
        <v>1.162444518605146</v>
      </c>
      <c r="T483" s="158">
        <f t="shared" ref="T483" si="1481">+T304/T143</f>
        <v>1.9721230448480418</v>
      </c>
      <c r="U483" s="158">
        <f t="shared" ref="U483" si="1482">+U304/U125</f>
        <v>3.407459932240434</v>
      </c>
      <c r="V483" s="158">
        <f t="shared" si="1473"/>
        <v>3.3469052380930888</v>
      </c>
      <c r="W483" s="180">
        <f t="shared" si="1473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483">+B305/B126</f>
        <v>4.5346894563880369</v>
      </c>
      <c r="C484" s="158">
        <f t="shared" si="1483"/>
        <v>2.5341492057605541</v>
      </c>
      <c r="D484" s="158">
        <f t="shared" si="1483"/>
        <v>1.5141056398423787</v>
      </c>
      <c r="E484" s="158">
        <f t="shared" si="1483"/>
        <v>0.52485267361985655</v>
      </c>
      <c r="F484" s="158">
        <f t="shared" si="1483"/>
        <v>1.0142928135407163</v>
      </c>
      <c r="G484" s="158">
        <f t="shared" si="1483"/>
        <v>3.4517158430840249</v>
      </c>
      <c r="H484" s="158">
        <f t="shared" si="1483"/>
        <v>3.3019484765267428</v>
      </c>
      <c r="I484" s="158">
        <f t="shared" si="1483"/>
        <v>3.5307808801511325</v>
      </c>
      <c r="J484" s="180">
        <f t="shared" si="1475"/>
        <v>3.6408895643002865</v>
      </c>
      <c r="K484" s="180"/>
      <c r="L484" s="127"/>
      <c r="M484" s="2"/>
      <c r="N484" s="133" t="s">
        <v>9</v>
      </c>
      <c r="O484" s="158">
        <f t="shared" si="1480"/>
        <v>1.9158586454068649</v>
      </c>
      <c r="P484" s="158">
        <f t="shared" si="1480"/>
        <v>1.795371609211736</v>
      </c>
      <c r="Q484" s="158">
        <f t="shared" si="1480"/>
        <v>1.8601217817804863</v>
      </c>
      <c r="R484" s="158">
        <f t="shared" si="1480"/>
        <v>1.7332036075627155</v>
      </c>
      <c r="S484" s="158">
        <f t="shared" si="1480"/>
        <v>1.1926364334898962</v>
      </c>
      <c r="T484" s="158">
        <f t="shared" ref="T484" si="1484">+T305/T144</f>
        <v>1.941190579602103</v>
      </c>
      <c r="U484" s="158">
        <f t="shared" ref="U484" si="1485">+U305/U126</f>
        <v>3.3982867651638848</v>
      </c>
      <c r="V484" s="158">
        <f t="shared" si="1473"/>
        <v>3.3638278595812885</v>
      </c>
      <c r="W484" s="180">
        <f t="shared" si="1473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486">+B306/B127</f>
        <v>3.6054687741755975</v>
      </c>
      <c r="C485" s="182">
        <f t="shared" si="1486"/>
        <v>4.1109430734251919</v>
      </c>
      <c r="D485" s="182">
        <f t="shared" si="1486"/>
        <v>4.3598788628434288</v>
      </c>
      <c r="E485" s="182">
        <f t="shared" si="1486"/>
        <v>1.4251359735898088</v>
      </c>
      <c r="F485" s="182">
        <f t="shared" si="1486"/>
        <v>1.8630203842980382</v>
      </c>
      <c r="G485" s="182">
        <f t="shared" si="1486"/>
        <v>2.565795364431624</v>
      </c>
      <c r="H485" s="182">
        <f t="shared" si="1486"/>
        <v>3.3982867651638848</v>
      </c>
      <c r="I485" s="182">
        <f t="shared" si="1486"/>
        <v>3.3638278595812885</v>
      </c>
      <c r="J485" s="183">
        <f t="shared" ref="J485" si="1487">+J306/J127</f>
        <v>3.4881211375079011</v>
      </c>
      <c r="K485" s="183"/>
      <c r="L485" s="137"/>
      <c r="M485" s="3"/>
      <c r="N485" s="134" t="s">
        <v>14</v>
      </c>
      <c r="O485" s="182">
        <f t="shared" si="1480"/>
        <v>2.079848423228245</v>
      </c>
      <c r="P485" s="182">
        <f t="shared" si="1480"/>
        <v>1.8773592428716741</v>
      </c>
      <c r="Q485" s="182">
        <f t="shared" si="1480"/>
        <v>1.773856342852832</v>
      </c>
      <c r="R485" s="182">
        <f t="shared" si="1480"/>
        <v>1.8627313239971006</v>
      </c>
      <c r="S485" s="182">
        <f t="shared" si="1480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3.4848569932443669</v>
      </c>
      <c r="Y485" s="149">
        <f>+X485/W485-1</f>
        <v>1.6567180761000833E-2</v>
      </c>
      <c r="Z485" s="156">
        <f>+POWER(X485/S485,0.2)-1</f>
        <v>0.21337777553550175</v>
      </c>
    </row>
    <row r="486" spans="1:26" ht="25.5" x14ac:dyDescent="0.25">
      <c r="A486" s="135" t="s">
        <v>15</v>
      </c>
      <c r="B486" s="138">
        <f t="shared" ref="B486:I486" si="1488">+B485/B$539</f>
        <v>1.1443644784934672</v>
      </c>
      <c r="C486" s="138">
        <f t="shared" si="1488"/>
        <v>1.1448390978879319</v>
      </c>
      <c r="D486" s="138">
        <f t="shared" si="1488"/>
        <v>1.451027334638243</v>
      </c>
      <c r="E486" s="138">
        <f t="shared" si="1488"/>
        <v>0.54574951918447223</v>
      </c>
      <c r="F486" s="138">
        <f t="shared" si="1488"/>
        <v>0.93334886525647176</v>
      </c>
      <c r="G486" s="138">
        <f t="shared" si="1488"/>
        <v>0.89700845144642816</v>
      </c>
      <c r="H486" s="138">
        <f t="shared" si="1488"/>
        <v>1.0649110919348921</v>
      </c>
      <c r="I486" s="138">
        <f t="shared" si="1488"/>
        <v>0.95400065822919877</v>
      </c>
      <c r="J486" s="139">
        <f t="shared" ref="J486" si="1489">+J485/J$539</f>
        <v>1.000157371536714</v>
      </c>
      <c r="K486" s="139"/>
      <c r="L486" s="140"/>
      <c r="M486" s="3"/>
      <c r="N486" s="135" t="s">
        <v>15</v>
      </c>
      <c r="O486" s="138">
        <f t="shared" ref="O486:T486" si="1490">+O485/O$539</f>
        <v>0.66908569141043017</v>
      </c>
      <c r="P486" s="138">
        <f t="shared" si="1490"/>
        <v>0.55715714421495</v>
      </c>
      <c r="Q486" s="138">
        <f t="shared" si="1490"/>
        <v>0.51600682343460125</v>
      </c>
      <c r="R486" s="138">
        <f t="shared" si="1490"/>
        <v>0.67548515050730462</v>
      </c>
      <c r="S486" s="138">
        <f t="shared" si="1490"/>
        <v>0.62780745839055563</v>
      </c>
      <c r="T486" s="138">
        <f t="shared" si="1490"/>
        <v>0.65722350480378999</v>
      </c>
      <c r="U486" s="138">
        <f t="shared" ref="U486:X486" si="1491">+U485/U$539</f>
        <v>0.85174231526041788</v>
      </c>
      <c r="V486" s="138">
        <f t="shared" si="1491"/>
        <v>1.53599754921055</v>
      </c>
      <c r="W486" s="139">
        <f t="shared" si="1491"/>
        <v>0.9773746499272854</v>
      </c>
      <c r="X486" s="139">
        <f t="shared" si="1491"/>
        <v>0.99822855988507375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492">+D485/C485-1</f>
        <v>6.0554423880850861E-2</v>
      </c>
      <c r="E487" s="142">
        <f t="shared" si="1492"/>
        <v>-0.67312486919410364</v>
      </c>
      <c r="F487" s="142">
        <f t="shared" si="1492"/>
        <v>0.30725798718365938</v>
      </c>
      <c r="G487" s="142">
        <f t="shared" si="1492"/>
        <v>0.3772234517972719</v>
      </c>
      <c r="H487" s="142">
        <f t="shared" si="1492"/>
        <v>0.32445744203637017</v>
      </c>
      <c r="I487" s="142">
        <f t="shared" ref="I487:J487" si="1493">+I485/H485-1</f>
        <v>-1.0140081742317175E-2</v>
      </c>
      <c r="J487" s="143">
        <f t="shared" si="1493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494">+Q485/P485-1</f>
        <v>-5.5132175907111169E-2</v>
      </c>
      <c r="R487" s="142">
        <f t="shared" si="1494"/>
        <v>5.010269377357468E-2</v>
      </c>
      <c r="S487" s="142">
        <f t="shared" si="1494"/>
        <v>-0.28869712718059692</v>
      </c>
      <c r="T487" s="142">
        <f t="shared" si="1494"/>
        <v>0.22648163020262668</v>
      </c>
      <c r="U487" s="142">
        <f t="shared" si="1494"/>
        <v>0.58516947793728735</v>
      </c>
      <c r="V487" s="142">
        <f t="shared" si="1494"/>
        <v>1.0242063284439697</v>
      </c>
      <c r="W487" s="143">
        <f t="shared" ref="W487" si="1495">+W485/V485-1</f>
        <v>-0.3425653830592067</v>
      </c>
      <c r="X487" s="143">
        <f t="shared" ref="X487" si="1496">+X485/W485-1</f>
        <v>1.6567180761000833E-2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73" t="s">
        <v>151</v>
      </c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5"/>
      <c r="M489" s="2"/>
      <c r="N489" s="373" t="s">
        <v>152</v>
      </c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5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497">+C490+1</f>
        <v>2018</v>
      </c>
      <c r="E490" s="129">
        <f t="shared" ref="E490" si="1498">+D490+1</f>
        <v>2019</v>
      </c>
      <c r="F490" s="129">
        <f t="shared" ref="F490" si="1499">+E490+1</f>
        <v>2020</v>
      </c>
      <c r="G490" s="129">
        <f t="shared" ref="G490" si="1500">+F490+1</f>
        <v>2021</v>
      </c>
      <c r="H490" s="129">
        <f t="shared" ref="H490" si="1501">+G490+1</f>
        <v>2022</v>
      </c>
      <c r="I490" s="129">
        <f t="shared" ref="I490" si="1502">+H490+1</f>
        <v>2023</v>
      </c>
      <c r="J490" s="130">
        <f t="shared" ref="J490:K490" si="1503">+I490+1</f>
        <v>2024</v>
      </c>
      <c r="K490" s="130">
        <f t="shared" si="1503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504">+P490+1</f>
        <v>2018</v>
      </c>
      <c r="R490" s="129">
        <f t="shared" ref="R490" si="1505">+Q490+1</f>
        <v>2019</v>
      </c>
      <c r="S490" s="129">
        <f t="shared" ref="S490" si="1506">+R490+1</f>
        <v>2020</v>
      </c>
      <c r="T490" s="129">
        <f t="shared" ref="T490" si="1507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508">+B312/B133</f>
        <v>0.9768497829596976</v>
      </c>
      <c r="C491" s="158">
        <f t="shared" si="1508"/>
        <v>1.5246568290586291</v>
      </c>
      <c r="D491" s="158">
        <f t="shared" si="1508"/>
        <v>1.6594646994068645</v>
      </c>
      <c r="E491" s="158">
        <f t="shared" si="1508"/>
        <v>1.076096293055826</v>
      </c>
      <c r="F491" s="158">
        <f t="shared" si="1508"/>
        <v>0.65826563299409835</v>
      </c>
      <c r="G491" s="158">
        <f t="shared" si="1508"/>
        <v>1.1960527630133171</v>
      </c>
      <c r="H491" s="158">
        <f t="shared" si="1508"/>
        <v>0.86308957089753024</v>
      </c>
      <c r="I491" s="158">
        <f t="shared" si="1508"/>
        <v>1.7513867323305992</v>
      </c>
      <c r="J491" s="180">
        <f t="shared" si="1508"/>
        <v>5.5388778487167567</v>
      </c>
      <c r="K491" s="180">
        <f t="shared" ref="K491:K496" si="1509">+K312/K133</f>
        <v>4.5808983276352802</v>
      </c>
      <c r="L491" s="127">
        <f t="shared" ref="L491:L496" si="1510">+K491/J491-1</f>
        <v>-0.17295552406945036</v>
      </c>
      <c r="M491" s="2"/>
      <c r="N491" s="133" t="s">
        <v>10</v>
      </c>
      <c r="O491" s="158">
        <f t="shared" ref="O491:U500" si="1511">+O312/O133</f>
        <v>1.4057808245475987</v>
      </c>
      <c r="P491" s="158">
        <f t="shared" si="1511"/>
        <v>1.1985393202615637</v>
      </c>
      <c r="Q491" s="158">
        <f t="shared" si="1511"/>
        <v>1.8210808542973258</v>
      </c>
      <c r="R491" s="158">
        <f t="shared" si="1511"/>
        <v>1.5844828018512316</v>
      </c>
      <c r="S491" s="158">
        <f t="shared" si="1511"/>
        <v>1.1472791919349696</v>
      </c>
      <c r="T491" s="158">
        <f t="shared" si="1511"/>
        <v>0.83977111112594893</v>
      </c>
      <c r="U491" s="158">
        <f t="shared" si="1511"/>
        <v>1.3191242537378667</v>
      </c>
      <c r="V491" s="158">
        <f t="shared" ref="V491:X496" si="1512">+V312/V133</f>
        <v>1.7720677940863769</v>
      </c>
      <c r="W491" s="180">
        <f t="shared" si="1512"/>
        <v>4.0505550170862472</v>
      </c>
      <c r="X491" s="180">
        <f t="shared" si="1512"/>
        <v>2.6369569968423661</v>
      </c>
      <c r="Y491" s="147">
        <f t="shared" ref="Y491:Y496" si="1513">+X491/W491-1</f>
        <v>-0.34898872235557188</v>
      </c>
      <c r="Z491" s="127">
        <f t="shared" ref="Z491:Z496" si="1514">+POWER(X491/S491,0.2)-1</f>
        <v>0.18110031708906038</v>
      </c>
    </row>
    <row r="492" spans="1:26" x14ac:dyDescent="0.25">
      <c r="A492" s="133" t="s">
        <v>11</v>
      </c>
      <c r="B492" s="158">
        <f t="shared" ref="B492:J492" si="1515">+B313/B134</f>
        <v>0.76103900193671303</v>
      </c>
      <c r="C492" s="158">
        <f t="shared" si="1515"/>
        <v>2.6906595675013878</v>
      </c>
      <c r="D492" s="158">
        <f t="shared" si="1515"/>
        <v>2.2138687356154878</v>
      </c>
      <c r="E492" s="158">
        <f t="shared" si="1515"/>
        <v>1.8023355055074151</v>
      </c>
      <c r="F492" s="158">
        <f t="shared" si="1515"/>
        <v>0.57315079107343281</v>
      </c>
      <c r="G492" s="158">
        <f t="shared" si="1515"/>
        <v>1.1262679686210249</v>
      </c>
      <c r="H492" s="158">
        <f t="shared" si="1515"/>
        <v>1.5959799635773859</v>
      </c>
      <c r="I492" s="158">
        <f t="shared" si="1515"/>
        <v>3.8773352132534367</v>
      </c>
      <c r="J492" s="180">
        <f t="shared" si="1515"/>
        <v>4.7843053402469655</v>
      </c>
      <c r="K492" s="180">
        <f t="shared" si="1509"/>
        <v>4.0234711632936468</v>
      </c>
      <c r="L492" s="127">
        <f t="shared" si="1510"/>
        <v>-0.15902709439403051</v>
      </c>
      <c r="M492" s="2"/>
      <c r="N492" s="133" t="s">
        <v>11</v>
      </c>
      <c r="O492" s="158">
        <f t="shared" si="1511"/>
        <v>1.3426284137765951</v>
      </c>
      <c r="P492" s="158">
        <f t="shared" si="1511"/>
        <v>1.2672083403117325</v>
      </c>
      <c r="Q492" s="158">
        <f t="shared" si="1511"/>
        <v>1.8021678517684692</v>
      </c>
      <c r="R492" s="158">
        <f t="shared" si="1511"/>
        <v>1.5700067818943477</v>
      </c>
      <c r="S492" s="158">
        <f t="shared" si="1511"/>
        <v>1.0859178874384132</v>
      </c>
      <c r="T492" s="158">
        <f t="shared" si="1511"/>
        <v>0.87116306134543231</v>
      </c>
      <c r="U492" s="158">
        <f t="shared" si="1511"/>
        <v>1.3426481331743276</v>
      </c>
      <c r="V492" s="158">
        <f t="shared" ref="V492:W502" si="1516">+V313/V134</f>
        <v>1.8141315465026828</v>
      </c>
      <c r="W492" s="180">
        <f t="shared" si="1516"/>
        <v>4.0737243610119105</v>
      </c>
      <c r="X492" s="180">
        <f t="shared" si="1512"/>
        <v>2.6750356678791021</v>
      </c>
      <c r="Y492" s="147">
        <f t="shared" si="1513"/>
        <v>-0.34334396959183933</v>
      </c>
      <c r="Z492" s="127">
        <f t="shared" si="1514"/>
        <v>0.19758546957612388</v>
      </c>
    </row>
    <row r="493" spans="1:26" x14ac:dyDescent="0.25">
      <c r="A493" s="133" t="s">
        <v>0</v>
      </c>
      <c r="B493" s="158">
        <f t="shared" ref="B493:G500" si="1517">+B314/B135</f>
        <v>0.79567940001581894</v>
      </c>
      <c r="C493" s="158">
        <f t="shared" si="1517"/>
        <v>1.7568175681756817</v>
      </c>
      <c r="D493" s="158">
        <f t="shared" si="1517"/>
        <v>1.2737828178953987</v>
      </c>
      <c r="E493" s="158">
        <f t="shared" si="1517"/>
        <v>1.4691067110373506</v>
      </c>
      <c r="F493" s="158">
        <f t="shared" si="1517"/>
        <v>0.6575354961479063</v>
      </c>
      <c r="G493" s="158">
        <f t="shared" si="1517"/>
        <v>0.95063715892565037</v>
      </c>
      <c r="H493" s="158">
        <f t="shared" ref="H493:J493" si="1518">+H314/H135</f>
        <v>1.0946907498631637</v>
      </c>
      <c r="I493" s="158">
        <f t="shared" si="1518"/>
        <v>3.8612190306349912</v>
      </c>
      <c r="J493" s="180">
        <f t="shared" si="1518"/>
        <v>2.3632496500572633</v>
      </c>
      <c r="K493" s="180">
        <f t="shared" si="1509"/>
        <v>4.2119471511473243</v>
      </c>
      <c r="L493" s="127">
        <f t="shared" si="1510"/>
        <v>0.78226923721125519</v>
      </c>
      <c r="M493" s="2"/>
      <c r="N493" s="133" t="s">
        <v>0</v>
      </c>
      <c r="O493" s="158">
        <f t="shared" si="1511"/>
        <v>1.2208673259005665</v>
      </c>
      <c r="P493" s="158">
        <f t="shared" si="1511"/>
        <v>1.3322648572820341</v>
      </c>
      <c r="Q493" s="158">
        <f t="shared" si="1511"/>
        <v>1.733561871922251</v>
      </c>
      <c r="R493" s="158">
        <f t="shared" si="1511"/>
        <v>1.6114314917038104</v>
      </c>
      <c r="S493" s="158">
        <f t="shared" si="1511"/>
        <v>1.0416112569149401</v>
      </c>
      <c r="T493" s="158">
        <f t="shared" si="1511"/>
        <v>0.88944543984292301</v>
      </c>
      <c r="U493" s="158">
        <f t="shared" si="1511"/>
        <v>1.370496394504662</v>
      </c>
      <c r="V493" s="158">
        <f t="shared" si="1516"/>
        <v>1.9686728588546989</v>
      </c>
      <c r="W493" s="180">
        <f t="shared" si="1516"/>
        <v>3.9205176126822696</v>
      </c>
      <c r="X493" s="180">
        <f t="shared" si="1512"/>
        <v>2.7594862331903438</v>
      </c>
      <c r="Y493" s="147">
        <f t="shared" si="1513"/>
        <v>-0.2961423705217312</v>
      </c>
      <c r="Z493" s="127">
        <f t="shared" si="1514"/>
        <v>0.21513495300020624</v>
      </c>
    </row>
    <row r="494" spans="1:26" x14ac:dyDescent="0.25">
      <c r="A494" s="133" t="s">
        <v>1</v>
      </c>
      <c r="B494" s="158">
        <f t="shared" si="1517"/>
        <v>0.90168987202968398</v>
      </c>
      <c r="C494" s="158">
        <f t="shared" si="1517"/>
        <v>1.2576497669979227</v>
      </c>
      <c r="D494" s="158">
        <f t="shared" si="1517"/>
        <v>1.6395176644806431</v>
      </c>
      <c r="E494" s="158">
        <f t="shared" si="1517"/>
        <v>0.88177341411021326</v>
      </c>
      <c r="F494" s="158">
        <f t="shared" si="1517"/>
        <v>0.39285758499878259</v>
      </c>
      <c r="G494" s="158">
        <f t="shared" si="1517"/>
        <v>1.4445948000182789</v>
      </c>
      <c r="H494" s="158">
        <f t="shared" ref="H494:J494" si="1519">+H315/H136</f>
        <v>1.6365634556574926</v>
      </c>
      <c r="I494" s="158">
        <f t="shared" si="1519"/>
        <v>6.1167911049829113</v>
      </c>
      <c r="J494" s="180">
        <f t="shared" si="1519"/>
        <v>1.6358363833144691</v>
      </c>
      <c r="K494" s="180">
        <f t="shared" si="1509"/>
        <v>2.6639865347589695</v>
      </c>
      <c r="L494" s="127">
        <f t="shared" si="1510"/>
        <v>0.62851649586207503</v>
      </c>
      <c r="M494" s="2"/>
      <c r="N494" s="133" t="s">
        <v>1</v>
      </c>
      <c r="O494" s="158">
        <f t="shared" si="1511"/>
        <v>1.1644518653611278</v>
      </c>
      <c r="P494" s="158">
        <f t="shared" si="1511"/>
        <v>1.3730984266593924</v>
      </c>
      <c r="Q494" s="158">
        <f t="shared" si="1511"/>
        <v>1.7639571417062756</v>
      </c>
      <c r="R494" s="158">
        <f t="shared" si="1511"/>
        <v>1.5196636717706442</v>
      </c>
      <c r="S494" s="158">
        <f t="shared" si="1511"/>
        <v>0.99570130233086962</v>
      </c>
      <c r="T494" s="158">
        <f t="shared" si="1511"/>
        <v>0.96690070210631907</v>
      </c>
      <c r="U494" s="158">
        <f t="shared" si="1511"/>
        <v>1.3789346409423933</v>
      </c>
      <c r="V494" s="158">
        <f t="shared" si="1516"/>
        <v>2.0773451465588169</v>
      </c>
      <c r="W494" s="180">
        <f t="shared" ref="W494" si="1520">+W315/W136</f>
        <v>3.3481951994136696</v>
      </c>
      <c r="X494" s="180">
        <f t="shared" si="1512"/>
        <v>2.8772205185980924</v>
      </c>
      <c r="Y494" s="147">
        <f t="shared" si="1513"/>
        <v>-0.1406652398575966</v>
      </c>
      <c r="Z494" s="127">
        <f t="shared" si="1514"/>
        <v>0.23642795227519864</v>
      </c>
    </row>
    <row r="495" spans="1:26" x14ac:dyDescent="0.25">
      <c r="A495" s="133" t="s">
        <v>2</v>
      </c>
      <c r="B495" s="158">
        <f t="shared" si="1517"/>
        <v>0.8477214097406609</v>
      </c>
      <c r="C495" s="158">
        <f t="shared" si="1517"/>
        <v>2.0263671464615478</v>
      </c>
      <c r="D495" s="158">
        <f t="shared" si="1517"/>
        <v>2.4188238694758479</v>
      </c>
      <c r="E495" s="158">
        <f t="shared" si="1517"/>
        <v>0.82228324169842715</v>
      </c>
      <c r="F495" s="158">
        <f t="shared" si="1517"/>
        <v>0.5555645585745419</v>
      </c>
      <c r="G495" s="158">
        <f t="shared" si="1517"/>
        <v>1.050977397455759</v>
      </c>
      <c r="H495" s="158">
        <f t="shared" ref="H495:J502" si="1521">+H316/H137</f>
        <v>2.3177347201830751</v>
      </c>
      <c r="I495" s="158">
        <f t="shared" si="1521"/>
        <v>6.3831449264041247</v>
      </c>
      <c r="J495" s="180">
        <f t="shared" si="1521"/>
        <v>2.9588093034075986</v>
      </c>
      <c r="K495" s="180">
        <f t="shared" si="1509"/>
        <v>3.0079699040854879</v>
      </c>
      <c r="L495" s="127">
        <f t="shared" si="1510"/>
        <v>1.6614994626815704E-2</v>
      </c>
      <c r="M495" s="2"/>
      <c r="N495" s="133" t="s">
        <v>2</v>
      </c>
      <c r="O495" s="158">
        <f t="shared" si="1511"/>
        <v>1.1025857916421764</v>
      </c>
      <c r="P495" s="158">
        <f t="shared" si="1511"/>
        <v>1.5128898516987568</v>
      </c>
      <c r="Q495" s="158">
        <f t="shared" si="1511"/>
        <v>1.7651532304863551</v>
      </c>
      <c r="R495" s="158">
        <f t="shared" si="1511"/>
        <v>1.3956105485515684</v>
      </c>
      <c r="S495" s="158">
        <f t="shared" si="1511"/>
        <v>0.92402332028235834</v>
      </c>
      <c r="T495" s="158">
        <f t="shared" si="1511"/>
        <v>1.0580069163070596</v>
      </c>
      <c r="U495" s="158">
        <f t="shared" si="1511"/>
        <v>1.5234536217234584</v>
      </c>
      <c r="V495" s="158">
        <f t="shared" si="1516"/>
        <v>2.1137849397630459</v>
      </c>
      <c r="W495" s="180">
        <f t="shared" ref="W495:W499" si="1522">+W316/W137</f>
        <v>3.192509549281128</v>
      </c>
      <c r="X495" s="180">
        <f t="shared" si="1512"/>
        <v>2.880633516644266</v>
      </c>
      <c r="Y495" s="147">
        <f t="shared" si="1513"/>
        <v>-9.7689929449729762E-2</v>
      </c>
      <c r="Z495" s="127">
        <f t="shared" si="1514"/>
        <v>0.25533898295831414</v>
      </c>
    </row>
    <row r="496" spans="1:26" x14ac:dyDescent="0.25">
      <c r="A496" s="133" t="s">
        <v>3</v>
      </c>
      <c r="B496" s="158">
        <f t="shared" si="1517"/>
        <v>0.94137958396552845</v>
      </c>
      <c r="C496" s="158">
        <f t="shared" si="1517"/>
        <v>1.7981065831102829</v>
      </c>
      <c r="D496" s="158">
        <f t="shared" si="1517"/>
        <v>2.227197094010708</v>
      </c>
      <c r="E496" s="158">
        <f t="shared" si="1517"/>
        <v>1.1524837720115928</v>
      </c>
      <c r="F496" s="158">
        <f t="shared" si="1517"/>
        <v>0.62491264618549902</v>
      </c>
      <c r="G496" s="158">
        <f t="shared" si="1517"/>
        <v>1.143449844415841</v>
      </c>
      <c r="H496" s="158">
        <f t="shared" si="1521"/>
        <v>1.5500591152148402</v>
      </c>
      <c r="I496" s="158">
        <f t="shared" si="1521"/>
        <v>4.5148790983957898</v>
      </c>
      <c r="J496" s="180">
        <f t="shared" si="1521"/>
        <v>1.7245378110606617</v>
      </c>
      <c r="K496" s="180">
        <f t="shared" si="1509"/>
        <v>2.3605563730642563</v>
      </c>
      <c r="L496" s="127">
        <f t="shared" si="1510"/>
        <v>0.36880522881224453</v>
      </c>
      <c r="M496" s="2"/>
      <c r="N496" s="133" t="s">
        <v>3</v>
      </c>
      <c r="O496" s="158">
        <f t="shared" si="1511"/>
        <v>1.042480555417894</v>
      </c>
      <c r="P496" s="158">
        <f t="shared" si="1511"/>
        <v>1.6272893655910603</v>
      </c>
      <c r="Q496" s="158">
        <f t="shared" si="1511"/>
        <v>1.7902140727865488</v>
      </c>
      <c r="R496" s="158">
        <f t="shared" si="1511"/>
        <v>1.3247537852367359</v>
      </c>
      <c r="S496" s="158">
        <f t="shared" si="1511"/>
        <v>0.84997686149753204</v>
      </c>
      <c r="T496" s="158">
        <f t="shared" si="1511"/>
        <v>1.1668553451041768</v>
      </c>
      <c r="U496" s="158">
        <f t="shared" si="1511"/>
        <v>1.5638705094030088</v>
      </c>
      <c r="V496" s="158">
        <f t="shared" si="1516"/>
        <v>2.2687627325344857</v>
      </c>
      <c r="W496" s="180">
        <f t="shared" si="1522"/>
        <v>2.8105509060806062</v>
      </c>
      <c r="X496" s="180">
        <f t="shared" si="1512"/>
        <v>2.9869251840589848</v>
      </c>
      <c r="Y496" s="147">
        <f t="shared" si="1513"/>
        <v>6.2754343853653083E-2</v>
      </c>
      <c r="Z496" s="127">
        <f t="shared" si="1514"/>
        <v>0.28577047316203164</v>
      </c>
    </row>
    <row r="497" spans="1:26" x14ac:dyDescent="0.25">
      <c r="A497" s="133" t="s">
        <v>4</v>
      </c>
      <c r="B497" s="158">
        <f t="shared" si="1517"/>
        <v>1.0972295269378667</v>
      </c>
      <c r="C497" s="158">
        <f t="shared" si="1517"/>
        <v>1.5241227458267996</v>
      </c>
      <c r="D497" s="158">
        <f t="shared" si="1517"/>
        <v>1.7627953799340965</v>
      </c>
      <c r="E497" s="158">
        <f t="shared" si="1517"/>
        <v>1.2533917092131235</v>
      </c>
      <c r="F497" s="158">
        <f t="shared" si="1517"/>
        <v>1.1960423692997975</v>
      </c>
      <c r="G497" s="158">
        <f t="shared" si="1517"/>
        <v>0.87735146132745756</v>
      </c>
      <c r="H497" s="158">
        <f t="shared" si="1521"/>
        <v>1.5072845514670146</v>
      </c>
      <c r="I497" s="158">
        <f t="shared" si="1521"/>
        <v>4.9024524060953238</v>
      </c>
      <c r="J497" s="180">
        <f t="shared" si="1521"/>
        <v>3.5741166675777158</v>
      </c>
      <c r="K497" s="180"/>
      <c r="L497" s="127"/>
      <c r="M497" s="2"/>
      <c r="N497" s="133" t="s">
        <v>4</v>
      </c>
      <c r="O497" s="158">
        <f t="shared" si="1511"/>
        <v>1.0182729259931949</v>
      </c>
      <c r="P497" s="158">
        <f t="shared" si="1511"/>
        <v>1.6854397095073308</v>
      </c>
      <c r="Q497" s="158">
        <f t="shared" si="1511"/>
        <v>1.8276318905587841</v>
      </c>
      <c r="R497" s="158">
        <f t="shared" si="1511"/>
        <v>1.276339576514387</v>
      </c>
      <c r="S497" s="158">
        <f t="shared" si="1511"/>
        <v>0.84682890822309898</v>
      </c>
      <c r="T497" s="158">
        <f t="shared" si="1511"/>
        <v>1.1281655587560881</v>
      </c>
      <c r="U497" s="158">
        <f t="shared" si="1511"/>
        <v>1.6690563142149815</v>
      </c>
      <c r="V497" s="158">
        <f t="shared" si="1516"/>
        <v>2.7468583153146531</v>
      </c>
      <c r="W497" s="180">
        <f t="shared" si="1522"/>
        <v>2.7592937653826994</v>
      </c>
      <c r="X497" s="180"/>
      <c r="Y497" s="147"/>
      <c r="Z497" s="127"/>
    </row>
    <row r="498" spans="1:26" x14ac:dyDescent="0.25">
      <c r="A498" s="133" t="s">
        <v>5</v>
      </c>
      <c r="B498" s="158">
        <f t="shared" si="1517"/>
        <v>1.4646235886564596</v>
      </c>
      <c r="C498" s="158">
        <f t="shared" si="1517"/>
        <v>2.1346685992884438</v>
      </c>
      <c r="D498" s="158">
        <f t="shared" si="1517"/>
        <v>0.85029527589599085</v>
      </c>
      <c r="E498" s="158">
        <f t="shared" si="1517"/>
        <v>1.8704998496496958</v>
      </c>
      <c r="F498" s="158">
        <f t="shared" si="1517"/>
        <v>1.267864251636476</v>
      </c>
      <c r="G498" s="158">
        <f t="shared" si="1517"/>
        <v>2.0156519042606149</v>
      </c>
      <c r="H498" s="158">
        <f t="shared" si="1521"/>
        <v>2.4794327853479023</v>
      </c>
      <c r="I498" s="158">
        <f t="shared" si="1521"/>
        <v>2.9147488831731416</v>
      </c>
      <c r="J498" s="180">
        <f t="shared" ref="J498" si="1523">+J319/J140</f>
        <v>2.2633897590155612</v>
      </c>
      <c r="K498" s="180"/>
      <c r="L498" s="127"/>
      <c r="M498" s="2"/>
      <c r="N498" s="133" t="s">
        <v>5</v>
      </c>
      <c r="O498" s="158">
        <f t="shared" si="1511"/>
        <v>1.0529578432464968</v>
      </c>
      <c r="P498" s="158">
        <f t="shared" si="1511"/>
        <v>1.7381821252738769</v>
      </c>
      <c r="Q498" s="158">
        <f t="shared" si="1511"/>
        <v>1.7145665720023797</v>
      </c>
      <c r="R498" s="158">
        <f t="shared" si="1511"/>
        <v>1.3340723167190109</v>
      </c>
      <c r="S498" s="158">
        <f t="shared" si="1511"/>
        <v>0.84937214626206314</v>
      </c>
      <c r="T498" s="158">
        <f t="shared" si="1511"/>
        <v>1.16570705112068</v>
      </c>
      <c r="U498" s="158">
        <f t="shared" si="1511"/>
        <v>1.7008235985548836</v>
      </c>
      <c r="V498" s="158">
        <f t="shared" si="1516"/>
        <v>2.8084904303088716</v>
      </c>
      <c r="W498" s="180">
        <f t="shared" si="1522"/>
        <v>2.6445260442554974</v>
      </c>
      <c r="X498" s="180"/>
      <c r="Y498" s="147"/>
      <c r="Z498" s="127"/>
    </row>
    <row r="499" spans="1:26" x14ac:dyDescent="0.25">
      <c r="A499" s="133" t="s">
        <v>6</v>
      </c>
      <c r="B499" s="158">
        <f t="shared" si="1517"/>
        <v>1.3424655595061425</v>
      </c>
      <c r="C499" s="158">
        <f t="shared" si="1517"/>
        <v>2.1763899668092272</v>
      </c>
      <c r="D499" s="158">
        <f t="shared" si="1517"/>
        <v>1.4727934875749786</v>
      </c>
      <c r="E499" s="158">
        <f t="shared" si="1517"/>
        <v>0.87325710711264082</v>
      </c>
      <c r="F499" s="158">
        <f t="shared" si="1517"/>
        <v>0.96589457950589386</v>
      </c>
      <c r="G499" s="158">
        <f t="shared" si="1517"/>
        <v>2.919872880672377</v>
      </c>
      <c r="H499" s="158">
        <f t="shared" si="1521"/>
        <v>2.488077074909044</v>
      </c>
      <c r="I499" s="158">
        <f>+I320/I141</f>
        <v>4.3359663382053739</v>
      </c>
      <c r="J499" s="180">
        <f t="shared" ref="J499:J502" si="1524">+J320/J141</f>
        <v>2.700547006672668</v>
      </c>
      <c r="K499" s="180"/>
      <c r="L499" s="127"/>
      <c r="M499" s="2"/>
      <c r="N499" s="133" t="s">
        <v>6</v>
      </c>
      <c r="O499" s="158">
        <f t="shared" si="1511"/>
        <v>1.0349645075088201</v>
      </c>
      <c r="P499" s="158">
        <f t="shared" si="1511"/>
        <v>1.8190349138793367</v>
      </c>
      <c r="Q499" s="158">
        <f t="shared" si="1511"/>
        <v>1.6490438855456755</v>
      </c>
      <c r="R499" s="158">
        <f t="shared" si="1511"/>
        <v>1.2537902306359014</v>
      </c>
      <c r="S499" s="158">
        <f t="shared" si="1511"/>
        <v>0.85527104067071535</v>
      </c>
      <c r="T499" s="158">
        <f t="shared" si="1511"/>
        <v>1.2455625478962129</v>
      </c>
      <c r="U499" s="158">
        <f t="shared" si="1511"/>
        <v>1.6847656985677133</v>
      </c>
      <c r="V499" s="158">
        <f t="shared" si="1516"/>
        <v>2.9764629158874887</v>
      </c>
      <c r="W499" s="180">
        <f t="shared" si="1522"/>
        <v>2.537516362185027</v>
      </c>
      <c r="X499" s="180"/>
      <c r="Y499" s="147"/>
      <c r="Z499" s="127"/>
    </row>
    <row r="500" spans="1:26" x14ac:dyDescent="0.25">
      <c r="A500" s="133" t="s">
        <v>7</v>
      </c>
      <c r="B500" s="158">
        <f t="shared" si="1517"/>
        <v>1.2572386467540384</v>
      </c>
      <c r="C500" s="158">
        <f t="shared" si="1517"/>
        <v>1.6541394930909343</v>
      </c>
      <c r="D500" s="158">
        <f t="shared" si="1517"/>
        <v>1.6946734757924167</v>
      </c>
      <c r="E500" s="158">
        <f t="shared" si="1517"/>
        <v>1.0039478058897651</v>
      </c>
      <c r="F500" s="158">
        <f t="shared" si="1517"/>
        <v>1.3037528476706937</v>
      </c>
      <c r="G500" s="158">
        <f t="shared" si="1517"/>
        <v>3.0965371380737015</v>
      </c>
      <c r="H500" s="158">
        <f t="shared" si="1521"/>
        <v>3.8178280253208206</v>
      </c>
      <c r="I500" s="158">
        <f t="shared" si="1521"/>
        <v>4.0434328290400261</v>
      </c>
      <c r="J500" s="180">
        <f t="shared" si="1524"/>
        <v>5.4527729278085912</v>
      </c>
      <c r="K500" s="180"/>
      <c r="L500" s="127"/>
      <c r="M500" s="2"/>
      <c r="N500" s="133" t="s">
        <v>7</v>
      </c>
      <c r="O500" s="158">
        <f t="shared" si="1511"/>
        <v>1.0332156829434824</v>
      </c>
      <c r="P500" s="158">
        <f t="shared" si="1511"/>
        <v>1.8876995226861999</v>
      </c>
      <c r="Q500" s="158">
        <f t="shared" si="1511"/>
        <v>1.652912297211125</v>
      </c>
      <c r="R500" s="158">
        <f t="shared" si="1511"/>
        <v>1.1924148694696086</v>
      </c>
      <c r="S500" s="158">
        <f t="shared" si="1511"/>
        <v>0.87371950575235324</v>
      </c>
      <c r="T500" s="158">
        <f t="shared" si="1511"/>
        <v>1.3240913964716068</v>
      </c>
      <c r="U500" s="158">
        <f t="shared" si="1511"/>
        <v>1.6505687577055614</v>
      </c>
      <c r="V500" s="158">
        <f t="shared" si="1516"/>
        <v>2.9467827947167331</v>
      </c>
      <c r="W500" s="180">
        <f t="shared" si="1516"/>
        <v>2.6356573572375095</v>
      </c>
      <c r="X500" s="180"/>
      <c r="Y500" s="147"/>
      <c r="Z500" s="127"/>
    </row>
    <row r="501" spans="1:26" x14ac:dyDescent="0.25">
      <c r="A501" s="133" t="s">
        <v>8</v>
      </c>
      <c r="B501" s="158">
        <f t="shared" ref="B501:G503" si="1525">+B322/B143</f>
        <v>2.7020445862546709</v>
      </c>
      <c r="C501" s="158">
        <f t="shared" si="1525"/>
        <v>2.2411548313520719</v>
      </c>
      <c r="D501" s="158">
        <f t="shared" si="1525"/>
        <v>2.3142677171417296</v>
      </c>
      <c r="E501" s="158">
        <f t="shared" si="1525"/>
        <v>1.503181566584173</v>
      </c>
      <c r="F501" s="158">
        <f t="shared" si="1525"/>
        <v>1.8777140758038913</v>
      </c>
      <c r="G501" s="158">
        <f t="shared" si="1525"/>
        <v>1.4207632005616193</v>
      </c>
      <c r="H501" s="158">
        <f t="shared" si="1521"/>
        <v>3.667409233102664</v>
      </c>
      <c r="I501" s="158">
        <f t="shared" si="1521"/>
        <v>5.7927072528524697</v>
      </c>
      <c r="J501" s="180">
        <f t="shared" si="1524"/>
        <v>2.4287152986175395</v>
      </c>
      <c r="K501" s="180"/>
      <c r="L501" s="127"/>
      <c r="M501" s="2"/>
      <c r="N501" s="133" t="s">
        <v>8</v>
      </c>
      <c r="O501" s="158">
        <f t="shared" ref="O501:S503" si="1526">+O322/O143</f>
        <v>1.0980126622983617</v>
      </c>
      <c r="P501" s="158">
        <f t="shared" si="1526"/>
        <v>1.8662911487835399</v>
      </c>
      <c r="Q501" s="158">
        <f t="shared" si="1526"/>
        <v>1.6693086963199457</v>
      </c>
      <c r="R501" s="158">
        <f t="shared" si="1526"/>
        <v>1.1337069926083925</v>
      </c>
      <c r="S501" s="158">
        <f t="shared" si="1526"/>
        <v>0.86888051044639047</v>
      </c>
      <c r="T501" s="158">
        <f t="shared" ref="T501:U501" si="1527">+T322/T143</f>
        <v>1.3018893041424022</v>
      </c>
      <c r="U501" s="158">
        <f t="shared" si="1527"/>
        <v>1.7062271730305756</v>
      </c>
      <c r="V501" s="158">
        <f t="shared" si="1516"/>
        <v>3.017216322034578</v>
      </c>
      <c r="W501" s="180">
        <f t="shared" si="1516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525"/>
        <v>2.4819783396657602</v>
      </c>
      <c r="C502" s="158">
        <f t="shared" si="1525"/>
        <v>1.6771786558818802</v>
      </c>
      <c r="D502" s="158">
        <f t="shared" si="1525"/>
        <v>1.2118469067353115</v>
      </c>
      <c r="E502" s="158">
        <f t="shared" si="1525"/>
        <v>1.8979692474328351</v>
      </c>
      <c r="F502" s="158">
        <f t="shared" si="1525"/>
        <v>0.98138701687166574</v>
      </c>
      <c r="G502" s="158">
        <f t="shared" si="1525"/>
        <v>1.7311353489367203</v>
      </c>
      <c r="H502" s="158">
        <f t="shared" si="1521"/>
        <v>1.438518766933484</v>
      </c>
      <c r="I502" s="158">
        <f t="shared" si="1521"/>
        <v>2.6012080908409994</v>
      </c>
      <c r="J502" s="180">
        <f t="shared" si="1524"/>
        <v>4.7411641940020868</v>
      </c>
      <c r="K502" s="180"/>
      <c r="L502" s="127"/>
      <c r="M502" s="2"/>
      <c r="N502" s="133" t="s">
        <v>9</v>
      </c>
      <c r="O502" s="158">
        <f t="shared" si="1526"/>
        <v>1.1725501023702511</v>
      </c>
      <c r="P502" s="158">
        <f t="shared" si="1526"/>
        <v>1.8101185384988696</v>
      </c>
      <c r="Q502" s="158">
        <f t="shared" si="1526"/>
        <v>1.6321999502748596</v>
      </c>
      <c r="R502" s="158">
        <f t="shared" si="1526"/>
        <v>1.179211586880569</v>
      </c>
      <c r="S502" s="158">
        <f t="shared" si="1526"/>
        <v>0.82026783343020637</v>
      </c>
      <c r="T502" s="158">
        <f t="shared" ref="T502:U502" si="1528">+T323/T144</f>
        <v>1.3510381755596037</v>
      </c>
      <c r="U502" s="158">
        <f t="shared" si="1528"/>
        <v>1.6769297680458568</v>
      </c>
      <c r="V502" s="158">
        <f t="shared" si="1516"/>
        <v>3.4298293024611364</v>
      </c>
      <c r="W502" s="180">
        <f t="shared" si="1516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525"/>
        <v>1.1725501023702514</v>
      </c>
      <c r="C503" s="182">
        <f t="shared" si="1525"/>
        <v>1.8101185384988696</v>
      </c>
      <c r="D503" s="182">
        <f t="shared" si="1525"/>
        <v>1.6321999502748596</v>
      </c>
      <c r="E503" s="182">
        <f t="shared" si="1525"/>
        <v>1.179211586880569</v>
      </c>
      <c r="F503" s="182">
        <f t="shared" si="1525"/>
        <v>0.82026783343020637</v>
      </c>
      <c r="G503" s="182">
        <f t="shared" ref="G503:I503" si="1529">+G324/G145</f>
        <v>1.3510381755596037</v>
      </c>
      <c r="H503" s="182">
        <f t="shared" si="1529"/>
        <v>1.6769297680458568</v>
      </c>
      <c r="I503" s="182">
        <f t="shared" si="1529"/>
        <v>3.4298293024611364</v>
      </c>
      <c r="J503" s="183">
        <f t="shared" ref="J503" si="1530">+J324/J145</f>
        <v>2.6152309284893951</v>
      </c>
      <c r="K503" s="183"/>
      <c r="L503" s="137"/>
      <c r="M503" s="3"/>
      <c r="N503" s="134" t="s">
        <v>14</v>
      </c>
      <c r="O503" s="182">
        <f t="shared" si="1526"/>
        <v>1.1209224262410102</v>
      </c>
      <c r="P503" s="182">
        <f t="shared" si="1526"/>
        <v>1.5707662260095459</v>
      </c>
      <c r="Q503" s="182">
        <f t="shared" si="1526"/>
        <v>1.7349272486322667</v>
      </c>
      <c r="R503" s="182">
        <f t="shared" si="1526"/>
        <v>1.3582142592833224</v>
      </c>
      <c r="S503" s="182">
        <f t="shared" si="1526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2.8009176252952166</v>
      </c>
      <c r="Y503" s="149">
        <f>+X503/W503-1</f>
        <v>-4.8252113985212342E-2</v>
      </c>
      <c r="Z503" s="156">
        <f>+POWER(X503/S503,0.2)-1</f>
        <v>0.24982718192822473</v>
      </c>
    </row>
    <row r="504" spans="1:26" ht="25.5" x14ac:dyDescent="0.25">
      <c r="A504" s="135" t="s">
        <v>15</v>
      </c>
      <c r="B504" s="138">
        <f t="shared" ref="B504:I504" si="1531">+B503/B$539</f>
        <v>0.37216372417847576</v>
      </c>
      <c r="C504" s="138">
        <f t="shared" si="1531"/>
        <v>0.50409223325942454</v>
      </c>
      <c r="D504" s="138">
        <f t="shared" si="1531"/>
        <v>0.54321847417095415</v>
      </c>
      <c r="E504" s="138">
        <f t="shared" si="1531"/>
        <v>0.45157386276325984</v>
      </c>
      <c r="F504" s="138">
        <f t="shared" si="1531"/>
        <v>0.41094346470445858</v>
      </c>
      <c r="G504" s="138">
        <f t="shared" si="1531"/>
        <v>0.47232631195129882</v>
      </c>
      <c r="H504" s="138">
        <f t="shared" si="1531"/>
        <v>0.52549453115435307</v>
      </c>
      <c r="I504" s="138">
        <f t="shared" si="1531"/>
        <v>0.97271904174341617</v>
      </c>
      <c r="J504" s="139">
        <f t="shared" ref="J504" si="1532">+J503/J$539</f>
        <v>0.74987146038976948</v>
      </c>
      <c r="K504" s="139"/>
      <c r="L504" s="140"/>
      <c r="M504" s="3"/>
      <c r="N504" s="135" t="s">
        <v>15</v>
      </c>
      <c r="O504" s="138">
        <f t="shared" ref="O504:T504" si="1533">+O503/O$539</f>
        <v>0.36059991112949397</v>
      </c>
      <c r="P504" s="138">
        <f t="shared" si="1533"/>
        <v>0.46616737208702397</v>
      </c>
      <c r="Q504" s="138">
        <f t="shared" si="1533"/>
        <v>0.50468252520217849</v>
      </c>
      <c r="R504" s="138">
        <f t="shared" si="1533"/>
        <v>0.49253134444771396</v>
      </c>
      <c r="S504" s="138">
        <f t="shared" si="1533"/>
        <v>0.43518327705318988</v>
      </c>
      <c r="T504" s="138">
        <f t="shared" si="1533"/>
        <v>0.44209251924429688</v>
      </c>
      <c r="U504" s="138">
        <f t="shared" ref="U504:X504" si="1534">+U503/U$539</f>
        <v>0.50639997899666045</v>
      </c>
      <c r="V504" s="138">
        <f t="shared" si="1534"/>
        <v>0.67567379984763076</v>
      </c>
      <c r="W504" s="139">
        <f t="shared" si="1534"/>
        <v>0.83905534833212514</v>
      </c>
      <c r="X504" s="139">
        <f t="shared" si="1534"/>
        <v>0.80231584047073268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535">+D503/C503-1</f>
        <v>-9.8291125382074518E-2</v>
      </c>
      <c r="E505" s="142">
        <f t="shared" ref="E505" si="1536">+E503/D503-1</f>
        <v>-0.27753239627167503</v>
      </c>
      <c r="F505" s="142">
        <f t="shared" ref="F505:H505" si="1537">+F503/E503-1</f>
        <v>-0.30439300075052311</v>
      </c>
      <c r="G505" s="142">
        <f t="shared" si="1537"/>
        <v>0.64706955520834608</v>
      </c>
      <c r="H505" s="142">
        <f t="shared" si="1537"/>
        <v>0.24121568019443118</v>
      </c>
      <c r="I505" s="142">
        <f t="shared" ref="I505:J505" si="1538">+I503/H503-1</f>
        <v>1.0453028909242579</v>
      </c>
      <c r="J505" s="143">
        <f t="shared" si="1538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539">+Q503/P503-1</f>
        <v>0.10451015555622423</v>
      </c>
      <c r="R505" s="142">
        <f t="shared" ref="R505" si="1540">+R503/Q503-1</f>
        <v>-0.21713474708863245</v>
      </c>
      <c r="S505" s="142">
        <f t="shared" ref="S505" si="1541">+S503/R503-1</f>
        <v>-0.32378901387802483</v>
      </c>
      <c r="T505" s="142">
        <f t="shared" ref="T505:V505" si="1542">+T503/S503-1</f>
        <v>0.19018754072314059</v>
      </c>
      <c r="U505" s="142">
        <f t="shared" si="1542"/>
        <v>0.40107401175913271</v>
      </c>
      <c r="V505" s="142">
        <f t="shared" si="1542"/>
        <v>0.49766913396725232</v>
      </c>
      <c r="W505" s="143">
        <f t="shared" ref="W505" si="1543">+W503/V503-1</f>
        <v>0.28302627760989552</v>
      </c>
      <c r="X505" s="143">
        <f t="shared" ref="X505" si="1544">+X503/W503-1</f>
        <v>-4.8252113985212342E-2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73" t="s">
        <v>153</v>
      </c>
      <c r="B507" s="374"/>
      <c r="C507" s="374"/>
      <c r="D507" s="374"/>
      <c r="E507" s="374"/>
      <c r="F507" s="374"/>
      <c r="G507" s="374"/>
      <c r="H507" s="374"/>
      <c r="I507" s="374"/>
      <c r="J507" s="374"/>
      <c r="K507" s="374"/>
      <c r="L507" s="375"/>
      <c r="M507" s="2"/>
      <c r="N507" s="373" t="s">
        <v>154</v>
      </c>
      <c r="O507" s="374"/>
      <c r="P507" s="374"/>
      <c r="Q507" s="374"/>
      <c r="R507" s="374"/>
      <c r="S507" s="374"/>
      <c r="T507" s="374"/>
      <c r="U507" s="374"/>
      <c r="V507" s="374"/>
      <c r="W507" s="374"/>
      <c r="X507" s="374"/>
      <c r="Y507" s="374"/>
      <c r="Z507" s="375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545">+C508+1</f>
        <v>2018</v>
      </c>
      <c r="E508" s="129">
        <f t="shared" ref="E508" si="1546">+D508+1</f>
        <v>2019</v>
      </c>
      <c r="F508" s="129">
        <f t="shared" ref="F508" si="1547">+E508+1</f>
        <v>2020</v>
      </c>
      <c r="G508" s="129">
        <f t="shared" ref="G508" si="1548">+F508+1</f>
        <v>2021</v>
      </c>
      <c r="H508" s="129">
        <f t="shared" ref="H508" si="1549">+G508+1</f>
        <v>2022</v>
      </c>
      <c r="I508" s="129">
        <f t="shared" ref="I508" si="1550">+H508+1</f>
        <v>2023</v>
      </c>
      <c r="J508" s="130">
        <f t="shared" ref="J508:K508" si="1551">+I508+1</f>
        <v>2024</v>
      </c>
      <c r="K508" s="130">
        <f t="shared" si="1551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552">+P508+1</f>
        <v>2018</v>
      </c>
      <c r="R508" s="129">
        <f t="shared" ref="R508" si="1553">+Q508+1</f>
        <v>2019</v>
      </c>
      <c r="S508" s="129">
        <f t="shared" ref="S508" si="1554">+R508+1</f>
        <v>2020</v>
      </c>
      <c r="T508" s="129">
        <f t="shared" ref="T508" si="1555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556">+B330/B151</f>
        <v>3.4306071734875641</v>
      </c>
      <c r="C509" s="158">
        <f t="shared" si="1556"/>
        <v>4.6875</v>
      </c>
      <c r="D509" s="158">
        <f t="shared" si="1556"/>
        <v>5.2386688918115398</v>
      </c>
      <c r="E509" s="158">
        <f t="shared" si="1556"/>
        <v>4.846927273547049</v>
      </c>
      <c r="F509" s="158">
        <f t="shared" si="1556"/>
        <v>5.4043180174743242</v>
      </c>
      <c r="G509" s="158">
        <f t="shared" si="1556"/>
        <v>5.375515103141562</v>
      </c>
      <c r="H509" s="158">
        <f t="shared" ref="H509:J509" si="1557">+H330/H151</f>
        <v>5.8688625241526262</v>
      </c>
      <c r="I509" s="158">
        <f t="shared" si="1557"/>
        <v>4.8892432430152164</v>
      </c>
      <c r="J509" s="180">
        <f t="shared" si="1557"/>
        <v>6.1613043007258153</v>
      </c>
      <c r="K509" s="180">
        <f t="shared" ref="K509:K514" si="1558">+K330/K151</f>
        <v>6.3618290258449299</v>
      </c>
      <c r="L509" s="127">
        <f t="shared" ref="L509:L514" si="1559">+K509/J509-1</f>
        <v>3.2545823957354614E-2</v>
      </c>
      <c r="M509" s="2"/>
      <c r="N509" s="133" t="s">
        <v>10</v>
      </c>
      <c r="O509" s="158">
        <f t="shared" ref="O509:U518" si="1560">+O330/O151</f>
        <v>4.6311272352047563</v>
      </c>
      <c r="P509" s="158">
        <f t="shared" si="1560"/>
        <v>4.6658649759649613</v>
      </c>
      <c r="Q509" s="158">
        <f t="shared" si="1560"/>
        <v>4.9443543228544291</v>
      </c>
      <c r="R509" s="158">
        <f t="shared" si="1560"/>
        <v>5.1887955092986457</v>
      </c>
      <c r="S509" s="158">
        <f t="shared" si="1560"/>
        <v>5.2599956237223262</v>
      </c>
      <c r="T509" s="158">
        <f t="shared" si="1560"/>
        <v>4.6569762094113845</v>
      </c>
      <c r="U509" s="158">
        <f t="shared" si="1560"/>
        <v>5.3056667405452691</v>
      </c>
      <c r="V509" s="158">
        <f t="shared" ref="V509:X514" si="1561">+V330/V151</f>
        <v>5.1937071320712098</v>
      </c>
      <c r="W509" s="180">
        <f t="shared" si="1561"/>
        <v>5.0363999138420281</v>
      </c>
      <c r="X509" s="180">
        <f t="shared" si="1561"/>
        <v>5.4350775798357862</v>
      </c>
      <c r="Y509" s="147">
        <f t="shared" ref="Y509:Y514" si="1562">+X509/W509-1</f>
        <v>7.915925518504463E-2</v>
      </c>
      <c r="Z509" s="127">
        <f t="shared" ref="Z509:Z514" si="1563">+POWER(X509/S509,0.2)-1</f>
        <v>6.5702097176694174E-3</v>
      </c>
    </row>
    <row r="510" spans="1:26" x14ac:dyDescent="0.25">
      <c r="A510" s="133" t="s">
        <v>11</v>
      </c>
      <c r="B510" s="158">
        <f t="shared" si="1556"/>
        <v>4.6031299629433562</v>
      </c>
      <c r="C510" s="158">
        <f t="shared" si="1556"/>
        <v>4.8951463302355052</v>
      </c>
      <c r="D510" s="158">
        <f t="shared" si="1556"/>
        <v>4.4456545149400819</v>
      </c>
      <c r="E510" s="158">
        <f t="shared" si="1556"/>
        <v>5.0794318042492081</v>
      </c>
      <c r="F510" s="158">
        <f t="shared" si="1556"/>
        <v>5.0956889313529636</v>
      </c>
      <c r="G510" s="158">
        <f t="shared" si="1556"/>
        <v>5.4318157004039733</v>
      </c>
      <c r="H510" s="158">
        <f t="shared" ref="H510:J510" si="1564">+H331/H152</f>
        <v>4.6285996991742229</v>
      </c>
      <c r="I510" s="158">
        <f t="shared" si="1564"/>
        <v>5.009763736298015</v>
      </c>
      <c r="J510" s="180">
        <f t="shared" si="1564"/>
        <v>5.5125368731563418</v>
      </c>
      <c r="K510" s="180">
        <f t="shared" si="1558"/>
        <v>4.5732260601294534</v>
      </c>
      <c r="L510" s="127">
        <f t="shared" si="1559"/>
        <v>-0.17039537959390783</v>
      </c>
      <c r="M510" s="2"/>
      <c r="N510" s="133" t="s">
        <v>11</v>
      </c>
      <c r="O510" s="158">
        <f t="shared" si="1560"/>
        <v>4.5825903854106214</v>
      </c>
      <c r="P510" s="158">
        <f t="shared" si="1560"/>
        <v>4.6865459773945313</v>
      </c>
      <c r="Q510" s="158">
        <f t="shared" si="1560"/>
        <v>4.9111330096049954</v>
      </c>
      <c r="R510" s="158">
        <f t="shared" si="1560"/>
        <v>5.2422713881317007</v>
      </c>
      <c r="S510" s="158">
        <f t="shared" si="1560"/>
        <v>5.2610233602647147</v>
      </c>
      <c r="T510" s="158">
        <f t="shared" si="1560"/>
        <v>4.6921416575305575</v>
      </c>
      <c r="U510" s="158">
        <f t="shared" si="1560"/>
        <v>5.2208111525786816</v>
      </c>
      <c r="V510" s="158">
        <f t="shared" ref="V510:W520" si="1565">+V331/V152</f>
        <v>5.2618903749417916</v>
      </c>
      <c r="W510" s="180">
        <f t="shared" si="1565"/>
        <v>5.0737421623542671</v>
      </c>
      <c r="X510" s="180">
        <f t="shared" si="1561"/>
        <v>5.390750073491005</v>
      </c>
      <c r="Y510" s="147">
        <f t="shared" si="1562"/>
        <v>6.2480098710739895E-2</v>
      </c>
      <c r="Z510" s="127">
        <f t="shared" si="1563"/>
        <v>4.8836809721215513E-3</v>
      </c>
    </row>
    <row r="511" spans="1:26" x14ac:dyDescent="0.25">
      <c r="A511" s="133" t="s">
        <v>0</v>
      </c>
      <c r="B511" s="158">
        <f t="shared" si="1556"/>
        <v>5.2947533807409028</v>
      </c>
      <c r="C511" s="158">
        <f t="shared" si="1556"/>
        <v>5.1929630052337243</v>
      </c>
      <c r="D511" s="158">
        <f t="shared" si="1556"/>
        <v>6.5406914689231765</v>
      </c>
      <c r="E511" s="158">
        <f t="shared" si="1556"/>
        <v>5.8125672601671594</v>
      </c>
      <c r="F511" s="158">
        <f t="shared" si="1556"/>
        <v>4.6643561290838091</v>
      </c>
      <c r="G511" s="158">
        <f t="shared" si="1556"/>
        <v>4.7903587726596575</v>
      </c>
      <c r="H511" s="158">
        <f t="shared" ref="H511:J511" si="1566">+H332/H153</f>
        <v>4.1586082282331365</v>
      </c>
      <c r="I511" s="158">
        <f t="shared" si="1566"/>
        <v>4.7172781208378742</v>
      </c>
      <c r="J511" s="180">
        <f t="shared" si="1566"/>
        <v>5.8858096952624361</v>
      </c>
      <c r="K511" s="180">
        <f t="shared" si="1558"/>
        <v>6.5272788677043989</v>
      </c>
      <c r="L511" s="127">
        <f t="shared" si="1559"/>
        <v>0.10898571405702939</v>
      </c>
      <c r="M511" s="2"/>
      <c r="N511" s="133" t="s">
        <v>0</v>
      </c>
      <c r="O511" s="158">
        <f t="shared" si="1560"/>
        <v>4.7239843014353067</v>
      </c>
      <c r="P511" s="158">
        <f t="shared" si="1560"/>
        <v>4.6820051055987406</v>
      </c>
      <c r="Q511" s="158">
        <f t="shared" si="1560"/>
        <v>5.0509765927370101</v>
      </c>
      <c r="R511" s="158">
        <f t="shared" si="1560"/>
        <v>5.1143053332511972</v>
      </c>
      <c r="S511" s="158">
        <f t="shared" si="1560"/>
        <v>5.2011662672158891</v>
      </c>
      <c r="T511" s="158">
        <f t="shared" si="1560"/>
        <v>4.7001282309793702</v>
      </c>
      <c r="U511" s="158">
        <f t="shared" si="1560"/>
        <v>5.2088420093108052</v>
      </c>
      <c r="V511" s="158">
        <f t="shared" si="1565"/>
        <v>5.2660842416074827</v>
      </c>
      <c r="W511" s="180">
        <f t="shared" si="1565"/>
        <v>5.1506187537263504</v>
      </c>
      <c r="X511" s="180">
        <f t="shared" si="1561"/>
        <v>5.4585534114418008</v>
      </c>
      <c r="Y511" s="147">
        <f t="shared" si="1562"/>
        <v>5.9785954356001758E-2</v>
      </c>
      <c r="Z511" s="127">
        <f t="shared" si="1563"/>
        <v>9.7069960247839759E-3</v>
      </c>
    </row>
    <row r="512" spans="1:26" x14ac:dyDescent="0.25">
      <c r="A512" s="133" t="s">
        <v>1</v>
      </c>
      <c r="B512" s="158">
        <f t="shared" si="1556"/>
        <v>4.254595959891935</v>
      </c>
      <c r="C512" s="158">
        <f t="shared" si="1556"/>
        <v>4.3898968750180742</v>
      </c>
      <c r="D512" s="158">
        <f t="shared" si="1556"/>
        <v>5.3737650311807732</v>
      </c>
      <c r="E512" s="158">
        <f t="shared" si="1556"/>
        <v>4.5728538765329452</v>
      </c>
      <c r="F512" s="158">
        <f t="shared" si="1556"/>
        <v>2.3542910819334915</v>
      </c>
      <c r="G512" s="158">
        <f t="shared" si="1556"/>
        <v>5.4072087723936493</v>
      </c>
      <c r="H512" s="158">
        <f t="shared" ref="H512:J512" si="1567">+H333/H154</f>
        <v>6.0053707523166509</v>
      </c>
      <c r="I512" s="158">
        <f t="shared" si="1567"/>
        <v>4.5311553002972671</v>
      </c>
      <c r="J512" s="180">
        <f t="shared" si="1567"/>
        <v>5.3287847756120943</v>
      </c>
      <c r="K512" s="180">
        <f t="shared" si="1558"/>
        <v>4.1986702926742838</v>
      </c>
      <c r="L512" s="127">
        <f t="shared" si="1559"/>
        <v>-0.21207733667719753</v>
      </c>
      <c r="M512" s="2"/>
      <c r="N512" s="133" t="s">
        <v>1</v>
      </c>
      <c r="O512" s="158">
        <f t="shared" si="1560"/>
        <v>4.7411439573913707</v>
      </c>
      <c r="P512" s="158">
        <f t="shared" si="1560"/>
        <v>4.6959874166863571</v>
      </c>
      <c r="Q512" s="158">
        <f t="shared" si="1560"/>
        <v>5.1413495196666323</v>
      </c>
      <c r="R512" s="158">
        <f t="shared" si="1560"/>
        <v>5.0638759517884937</v>
      </c>
      <c r="S512" s="158">
        <f t="shared" si="1560"/>
        <v>4.8741124927841391</v>
      </c>
      <c r="T512" s="158">
        <f t="shared" si="1560"/>
        <v>5.0455757232969018</v>
      </c>
      <c r="U512" s="158">
        <f t="shared" si="1560"/>
        <v>5.248058693220945</v>
      </c>
      <c r="V512" s="158">
        <f t="shared" si="1565"/>
        <v>5.1802525876981251</v>
      </c>
      <c r="W512" s="180">
        <f t="shared" ref="W512" si="1568">+W333/W154</f>
        <v>5.1834209386182293</v>
      </c>
      <c r="X512" s="180">
        <f t="shared" si="1561"/>
        <v>5.3088824318611136</v>
      </c>
      <c r="Y512" s="147">
        <f t="shared" si="1562"/>
        <v>2.4204380606667408E-2</v>
      </c>
      <c r="Z512" s="127">
        <f t="shared" si="1563"/>
        <v>1.7235509108645575E-2</v>
      </c>
    </row>
    <row r="513" spans="1:26" x14ac:dyDescent="0.25">
      <c r="A513" s="133" t="s">
        <v>2</v>
      </c>
      <c r="B513" s="158">
        <f t="shared" si="1556"/>
        <v>4.3655012821314649</v>
      </c>
      <c r="C513" s="158">
        <f t="shared" si="1556"/>
        <v>5.7443726006392657</v>
      </c>
      <c r="D513" s="158">
        <f t="shared" si="1556"/>
        <v>5.727560874642414</v>
      </c>
      <c r="E513" s="158">
        <f t="shared" si="1556"/>
        <v>4.7586185976673283</v>
      </c>
      <c r="F513" s="158">
        <f t="shared" si="1556"/>
        <v>4.1216241894081511</v>
      </c>
      <c r="G513" s="158">
        <f t="shared" si="1556"/>
        <v>3.9817136115617169</v>
      </c>
      <c r="H513" s="158">
        <f t="shared" ref="H513:J520" si="1569">+H334/H155</f>
        <v>4.2722832224444538</v>
      </c>
      <c r="I513" s="158">
        <f t="shared" si="1569"/>
        <v>4.9948150708606978</v>
      </c>
      <c r="J513" s="180">
        <f t="shared" si="1569"/>
        <v>5.1735808915965578</v>
      </c>
      <c r="K513" s="180">
        <f t="shared" si="1558"/>
        <v>4.8133768270287041</v>
      </c>
      <c r="L513" s="127">
        <f t="shared" si="1559"/>
        <v>-6.9623742648526665E-2</v>
      </c>
      <c r="M513" s="2"/>
      <c r="N513" s="133" t="s">
        <v>2</v>
      </c>
      <c r="O513" s="158">
        <f t="shared" si="1560"/>
        <v>4.6995861571648367</v>
      </c>
      <c r="P513" s="158">
        <f t="shared" si="1560"/>
        <v>4.780306801788142</v>
      </c>
      <c r="Q513" s="158">
        <f t="shared" si="1560"/>
        <v>5.1375425924946549</v>
      </c>
      <c r="R513" s="158">
        <f t="shared" si="1560"/>
        <v>5.0005526217183025</v>
      </c>
      <c r="S513" s="158">
        <f t="shared" si="1560"/>
        <v>4.8023877177709018</v>
      </c>
      <c r="T513" s="158">
        <f t="shared" si="1560"/>
        <v>4.9899353667012845</v>
      </c>
      <c r="U513" s="158">
        <f t="shared" si="1560"/>
        <v>5.3621237864762712</v>
      </c>
      <c r="V513" s="158">
        <f t="shared" si="1565"/>
        <v>5.2717081245091189</v>
      </c>
      <c r="W513" s="180">
        <f t="shared" ref="W513:W517" si="1570">+W334/W155</f>
        <v>5.1930148118264077</v>
      </c>
      <c r="X513" s="180">
        <f t="shared" si="1561"/>
        <v>5.2611140173958324</v>
      </c>
      <c r="Y513" s="147">
        <f t="shared" si="1562"/>
        <v>1.3113616663356753E-2</v>
      </c>
      <c r="Z513" s="127">
        <f t="shared" si="1563"/>
        <v>1.8413385523298409E-2</v>
      </c>
    </row>
    <row r="514" spans="1:26" x14ac:dyDescent="0.25">
      <c r="A514" s="133" t="s">
        <v>3</v>
      </c>
      <c r="B514" s="158">
        <f t="shared" si="1556"/>
        <v>5.7957264252124414</v>
      </c>
      <c r="C514" s="158">
        <f t="shared" si="1556"/>
        <v>4.5695298773274144</v>
      </c>
      <c r="D514" s="158">
        <f t="shared" si="1556"/>
        <v>5.1775018004883275</v>
      </c>
      <c r="E514" s="158">
        <f t="shared" si="1556"/>
        <v>5.8548086921390583</v>
      </c>
      <c r="F514" s="158">
        <f t="shared" si="1556"/>
        <v>4.6747244934233914</v>
      </c>
      <c r="G514" s="158">
        <f t="shared" si="1556"/>
        <v>5.874614248826127</v>
      </c>
      <c r="H514" s="158">
        <f t="shared" si="1569"/>
        <v>5.9806076027450077</v>
      </c>
      <c r="I514" s="158">
        <f t="shared" si="1569"/>
        <v>8.191949434464405</v>
      </c>
      <c r="J514" s="180">
        <f t="shared" si="1569"/>
        <v>4.462937231921706</v>
      </c>
      <c r="K514" s="180">
        <f t="shared" si="1558"/>
        <v>4.3112350268484096</v>
      </c>
      <c r="L514" s="127">
        <f t="shared" si="1559"/>
        <v>-3.3991561429147499E-2</v>
      </c>
      <c r="M514" s="2"/>
      <c r="N514" s="133" t="s">
        <v>3</v>
      </c>
      <c r="O514" s="158">
        <f t="shared" si="1560"/>
        <v>4.8306386780972517</v>
      </c>
      <c r="P514" s="158">
        <f t="shared" si="1560"/>
        <v>4.7157897023955559</v>
      </c>
      <c r="Q514" s="158">
        <f t="shared" si="1560"/>
        <v>5.1981196693470455</v>
      </c>
      <c r="R514" s="158">
        <f t="shared" si="1560"/>
        <v>5.0721088256468754</v>
      </c>
      <c r="S514" s="158">
        <f t="shared" si="1560"/>
        <v>4.665488696325701</v>
      </c>
      <c r="T514" s="158">
        <f t="shared" si="1560"/>
        <v>5.098060829086716</v>
      </c>
      <c r="U514" s="158">
        <f t="shared" si="1560"/>
        <v>5.3545734327224768</v>
      </c>
      <c r="V514" s="158">
        <f t="shared" si="1565"/>
        <v>5.3443062520787175</v>
      </c>
      <c r="W514" s="180">
        <f t="shared" si="1570"/>
        <v>5.0183505834410758</v>
      </c>
      <c r="X514" s="180">
        <f t="shared" si="1561"/>
        <v>5.2422902891019625</v>
      </c>
      <c r="Y514" s="147">
        <f t="shared" si="1562"/>
        <v>4.4624165238637437E-2</v>
      </c>
      <c r="Z514" s="127">
        <f t="shared" si="1563"/>
        <v>2.3587055130633416E-2</v>
      </c>
    </row>
    <row r="515" spans="1:26" x14ac:dyDescent="0.25">
      <c r="A515" s="133" t="s">
        <v>4</v>
      </c>
      <c r="B515" s="158">
        <f t="shared" si="1556"/>
        <v>3.9630982925676297</v>
      </c>
      <c r="C515" s="158">
        <f t="shared" si="1556"/>
        <v>4.5706823375775389</v>
      </c>
      <c r="D515" s="158">
        <f t="shared" si="1556"/>
        <v>5.4167874635701967</v>
      </c>
      <c r="E515" s="158">
        <f t="shared" si="1556"/>
        <v>4.9786703281729849</v>
      </c>
      <c r="F515" s="158">
        <f t="shared" si="1556"/>
        <v>5.0985114396249136</v>
      </c>
      <c r="G515" s="158">
        <f t="shared" si="1556"/>
        <v>4.9643691238996341</v>
      </c>
      <c r="H515" s="158">
        <f t="shared" si="1569"/>
        <v>4.7338030070768768</v>
      </c>
      <c r="I515" s="158">
        <f t="shared" si="1569"/>
        <v>5.0861078600052858</v>
      </c>
      <c r="J515" s="180">
        <f t="shared" si="1569"/>
        <v>5.4933364281707568</v>
      </c>
      <c r="K515" s="180"/>
      <c r="L515" s="127"/>
      <c r="M515" s="2"/>
      <c r="N515" s="133" t="s">
        <v>4</v>
      </c>
      <c r="O515" s="158">
        <f t="shared" si="1560"/>
        <v>4.6967099321045227</v>
      </c>
      <c r="P515" s="158">
        <f t="shared" si="1560"/>
        <v>4.7870214320398929</v>
      </c>
      <c r="Q515" s="158">
        <f t="shared" si="1560"/>
        <v>5.2539144318244677</v>
      </c>
      <c r="R515" s="158">
        <f t="shared" si="1560"/>
        <v>5.035689807701889</v>
      </c>
      <c r="S515" s="158">
        <f t="shared" si="1560"/>
        <v>4.6945052713675555</v>
      </c>
      <c r="T515" s="158">
        <f t="shared" si="1560"/>
        <v>5.0896943651009412</v>
      </c>
      <c r="U515" s="158">
        <f t="shared" si="1560"/>
        <v>5.3490682124801712</v>
      </c>
      <c r="V515" s="158">
        <f t="shared" si="1565"/>
        <v>5.359544662083783</v>
      </c>
      <c r="W515" s="180">
        <f t="shared" si="1570"/>
        <v>5.0568247147086725</v>
      </c>
      <c r="X515" s="180"/>
      <c r="Y515" s="147"/>
      <c r="Z515" s="127"/>
    </row>
    <row r="516" spans="1:26" x14ac:dyDescent="0.25">
      <c r="A516" s="133" t="s">
        <v>5</v>
      </c>
      <c r="B516" s="158">
        <f t="shared" si="1556"/>
        <v>4.8889203076224748</v>
      </c>
      <c r="C516" s="158">
        <f t="shared" si="1556"/>
        <v>4.8044098271188842</v>
      </c>
      <c r="D516" s="158">
        <f t="shared" si="1556"/>
        <v>5.5335296782963299</v>
      </c>
      <c r="E516" s="158">
        <f t="shared" si="1556"/>
        <v>4.9127013656345166</v>
      </c>
      <c r="F516" s="158">
        <f t="shared" si="1556"/>
        <v>4.8825878226725905</v>
      </c>
      <c r="G516" s="158">
        <f t="shared" si="1556"/>
        <v>4.6155125575206517</v>
      </c>
      <c r="H516" s="158">
        <f t="shared" si="1569"/>
        <v>4.0731437214704371</v>
      </c>
      <c r="I516" s="158">
        <f t="shared" si="1569"/>
        <v>5.3616431901420016</v>
      </c>
      <c r="J516" s="180">
        <f t="shared" ref="J516" si="1571">+J337/J158</f>
        <v>6.0080933766448279</v>
      </c>
      <c r="K516" s="180"/>
      <c r="L516" s="127"/>
      <c r="M516" s="2"/>
      <c r="N516" s="133" t="s">
        <v>5</v>
      </c>
      <c r="O516" s="158">
        <f t="shared" si="1560"/>
        <v>4.5829494356471976</v>
      </c>
      <c r="P516" s="158">
        <f t="shared" si="1560"/>
        <v>4.7810952520535146</v>
      </c>
      <c r="Q516" s="158">
        <f t="shared" si="1560"/>
        <v>5.3499423682428873</v>
      </c>
      <c r="R516" s="158">
        <f t="shared" si="1560"/>
        <v>4.9629540977472573</v>
      </c>
      <c r="S516" s="158">
        <f t="shared" si="1560"/>
        <v>4.6839099153535741</v>
      </c>
      <c r="T516" s="158">
        <f t="shared" si="1560"/>
        <v>5.0667367310882412</v>
      </c>
      <c r="U516" s="158">
        <f t="shared" si="1560"/>
        <v>5.3158333962951012</v>
      </c>
      <c r="V516" s="158">
        <f t="shared" si="1565"/>
        <v>5.4879004016600437</v>
      </c>
      <c r="W516" s="180">
        <f t="shared" si="1570"/>
        <v>5.0996289427354826</v>
      </c>
      <c r="X516" s="180"/>
      <c r="Y516" s="147"/>
      <c r="Z516" s="127"/>
    </row>
    <row r="517" spans="1:26" x14ac:dyDescent="0.25">
      <c r="A517" s="133" t="s">
        <v>6</v>
      </c>
      <c r="B517" s="158">
        <f t="shared" si="1556"/>
        <v>5.1994385308223183</v>
      </c>
      <c r="C517" s="158">
        <f t="shared" si="1556"/>
        <v>5.3595635950303508</v>
      </c>
      <c r="D517" s="158">
        <f t="shared" si="1556"/>
        <v>4.9587857798856412</v>
      </c>
      <c r="E517" s="158">
        <f t="shared" si="1556"/>
        <v>6.5351545196934477</v>
      </c>
      <c r="F517" s="158">
        <f t="shared" si="1556"/>
        <v>5.7678846423071537</v>
      </c>
      <c r="G517" s="158">
        <f t="shared" si="1556"/>
        <v>6.4721106228228296</v>
      </c>
      <c r="H517" s="158">
        <f t="shared" si="1569"/>
        <v>5.0534515829811166</v>
      </c>
      <c r="I517" s="158">
        <f>+I338/I159</f>
        <v>5.7416864574418032</v>
      </c>
      <c r="J517" s="180">
        <f t="shared" ref="J517:J520" si="1572">+J338/J159</f>
        <v>5.3283574353392424</v>
      </c>
      <c r="K517" s="180"/>
      <c r="L517" s="127"/>
      <c r="M517" s="2"/>
      <c r="N517" s="133" t="s">
        <v>6</v>
      </c>
      <c r="O517" s="158">
        <f t="shared" si="1560"/>
        <v>4.5832280418740243</v>
      </c>
      <c r="P517" s="158">
        <f t="shared" si="1560"/>
        <v>4.8118486845179671</v>
      </c>
      <c r="Q517" s="158">
        <f t="shared" si="1560"/>
        <v>5.3027174802377042</v>
      </c>
      <c r="R517" s="158">
        <f t="shared" si="1560"/>
        <v>5.058720706721366</v>
      </c>
      <c r="S517" s="158">
        <f t="shared" si="1560"/>
        <v>4.6234223874623641</v>
      </c>
      <c r="T517" s="158">
        <f t="shared" si="1560"/>
        <v>5.1581843191196697</v>
      </c>
      <c r="U517" s="158">
        <f t="shared" si="1560"/>
        <v>5.1615207096345221</v>
      </c>
      <c r="V517" s="158">
        <f t="shared" si="1565"/>
        <v>5.5704768624454744</v>
      </c>
      <c r="W517" s="180">
        <f t="shared" si="1570"/>
        <v>5.0795475918636823</v>
      </c>
      <c r="X517" s="180"/>
      <c r="Y517" s="147"/>
      <c r="Z517" s="127"/>
    </row>
    <row r="518" spans="1:26" x14ac:dyDescent="0.25">
      <c r="A518" s="133" t="s">
        <v>7</v>
      </c>
      <c r="B518" s="158">
        <f t="shared" si="1556"/>
        <v>5.2390398799328786</v>
      </c>
      <c r="C518" s="158">
        <f t="shared" si="1556"/>
        <v>5.6251870412733522</v>
      </c>
      <c r="D518" s="158">
        <f t="shared" si="1556"/>
        <v>5.0900194133446801</v>
      </c>
      <c r="E518" s="158">
        <f t="shared" si="1556"/>
        <v>4.8859802776696508</v>
      </c>
      <c r="F518" s="158">
        <f t="shared" si="1556"/>
        <v>5.2386410030644814</v>
      </c>
      <c r="G518" s="158">
        <f t="shared" si="1556"/>
        <v>4.898971316825345</v>
      </c>
      <c r="H518" s="158">
        <f t="shared" si="1569"/>
        <v>7.4467821475478893</v>
      </c>
      <c r="I518" s="158">
        <f t="shared" si="1569"/>
        <v>5.0105741650055906</v>
      </c>
      <c r="J518" s="180">
        <f t="shared" si="1572"/>
        <v>4.6008379472915415</v>
      </c>
      <c r="K518" s="180"/>
      <c r="L518" s="127"/>
      <c r="M518" s="2"/>
      <c r="N518" s="133" t="s">
        <v>7</v>
      </c>
      <c r="O518" s="158">
        <f t="shared" si="1560"/>
        <v>4.6431695256863614</v>
      </c>
      <c r="P518" s="158">
        <f t="shared" si="1560"/>
        <v>4.8230652685897732</v>
      </c>
      <c r="Q518" s="158">
        <f t="shared" si="1560"/>
        <v>5.268096608848758</v>
      </c>
      <c r="R518" s="158">
        <f t="shared" si="1560"/>
        <v>5.0412760775044028</v>
      </c>
      <c r="S518" s="158">
        <f t="shared" si="1560"/>
        <v>4.648139944950092</v>
      </c>
      <c r="T518" s="158">
        <f t="shared" si="1560"/>
        <v>5.1340863231808154</v>
      </c>
      <c r="U518" s="158">
        <f t="shared" si="1560"/>
        <v>5.3464705342208827</v>
      </c>
      <c r="V518" s="158">
        <f t="shared" si="1565"/>
        <v>5.3223755213508745</v>
      </c>
      <c r="W518" s="180">
        <f t="shared" si="1565"/>
        <v>5.040888993056468</v>
      </c>
      <c r="X518" s="180"/>
      <c r="Y518" s="147"/>
      <c r="Z518" s="127"/>
    </row>
    <row r="519" spans="1:26" x14ac:dyDescent="0.25">
      <c r="A519" s="133" t="s">
        <v>8</v>
      </c>
      <c r="B519" s="158">
        <f t="shared" ref="B519:G521" si="1573">+B340/B161</f>
        <v>3.895239989301805</v>
      </c>
      <c r="C519" s="158">
        <f t="shared" si="1573"/>
        <v>4.9159219592059484</v>
      </c>
      <c r="D519" s="158">
        <f t="shared" si="1573"/>
        <v>4.0260680666183921</v>
      </c>
      <c r="E519" s="158">
        <f t="shared" si="1573"/>
        <v>4.6974390692565677</v>
      </c>
      <c r="F519" s="158">
        <f t="shared" si="1573"/>
        <v>4.3648023565330121</v>
      </c>
      <c r="G519" s="158">
        <f t="shared" si="1573"/>
        <v>5.2141024893604611</v>
      </c>
      <c r="H519" s="158">
        <f t="shared" si="1569"/>
        <v>5.6111872624023436</v>
      </c>
      <c r="I519" s="158">
        <f t="shared" si="1569"/>
        <v>5.5029408011985463</v>
      </c>
      <c r="J519" s="180">
        <f t="shared" si="1572"/>
        <v>5.5499856774563163</v>
      </c>
      <c r="K519" s="180"/>
      <c r="L519" s="127"/>
      <c r="M519" s="2"/>
      <c r="N519" s="133" t="s">
        <v>8</v>
      </c>
      <c r="O519" s="158">
        <f t="shared" ref="O519:S521" si="1574">+O340/O161</f>
        <v>4.6266430289085401</v>
      </c>
      <c r="P519" s="158">
        <f t="shared" si="1574"/>
        <v>4.8689680365296804</v>
      </c>
      <c r="Q519" s="158">
        <f t="shared" si="1574"/>
        <v>5.1083124576223318</v>
      </c>
      <c r="R519" s="158">
        <f t="shared" si="1574"/>
        <v>5.2128839202239927</v>
      </c>
      <c r="S519" s="158">
        <f t="shared" si="1574"/>
        <v>4.6150712312373487</v>
      </c>
      <c r="T519" s="158">
        <f t="shared" ref="T519:U519" si="1575">+T340/T161</f>
        <v>5.2128107433075437</v>
      </c>
      <c r="U519" s="158">
        <f t="shared" si="1575"/>
        <v>5.3816060621566439</v>
      </c>
      <c r="V519" s="158">
        <f t="shared" si="1565"/>
        <v>5.3229090601684037</v>
      </c>
      <c r="W519" s="180">
        <f t="shared" si="1565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573"/>
        <v>4.0440336982778309</v>
      </c>
      <c r="C520" s="158">
        <f t="shared" si="1573"/>
        <v>4.3800851056977343</v>
      </c>
      <c r="D520" s="158">
        <f t="shared" si="1573"/>
        <v>5.7598913906094795</v>
      </c>
      <c r="E520" s="158">
        <f t="shared" si="1573"/>
        <v>6.1802516875275604</v>
      </c>
      <c r="F520" s="158">
        <f t="shared" si="1573"/>
        <v>6.4385006826362163</v>
      </c>
      <c r="G520" s="158">
        <f t="shared" si="1573"/>
        <v>7.4685442489280431</v>
      </c>
      <c r="H520" s="158">
        <f t="shared" si="1569"/>
        <v>6.5169218372280424</v>
      </c>
      <c r="I520" s="158">
        <f t="shared" si="1569"/>
        <v>3.6020271635826866</v>
      </c>
      <c r="J520" s="180">
        <f t="shared" si="1572"/>
        <v>6.3209511654463624</v>
      </c>
      <c r="K520" s="180"/>
      <c r="L520" s="127"/>
      <c r="M520" s="2"/>
      <c r="N520" s="133" t="s">
        <v>9</v>
      </c>
      <c r="O520" s="158">
        <f t="shared" si="1574"/>
        <v>4.5943307680218295</v>
      </c>
      <c r="P520" s="158">
        <f t="shared" si="1574"/>
        <v>4.9148508016333485</v>
      </c>
      <c r="Q520" s="158">
        <f t="shared" si="1574"/>
        <v>5.2058745120471608</v>
      </c>
      <c r="R520" s="158">
        <f t="shared" si="1574"/>
        <v>5.2264607678092148</v>
      </c>
      <c r="S520" s="158">
        <f t="shared" si="1574"/>
        <v>4.6168133126467179</v>
      </c>
      <c r="T520" s="158">
        <f t="shared" ref="T520:U520" si="1576">+T341/T162</f>
        <v>5.2919755104943569</v>
      </c>
      <c r="U520" s="158">
        <f t="shared" si="1576"/>
        <v>5.2644139857017356</v>
      </c>
      <c r="V520" s="158">
        <f t="shared" si="1565"/>
        <v>4.9862035743040929</v>
      </c>
      <c r="W520" s="180">
        <f t="shared" si="1565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573"/>
        <v>4.5943307680218304</v>
      </c>
      <c r="C521" s="182">
        <f t="shared" si="1573"/>
        <v>4.9148508016333485</v>
      </c>
      <c r="D521" s="182">
        <f t="shared" si="1573"/>
        <v>5.2058745120471608</v>
      </c>
      <c r="E521" s="182">
        <f t="shared" si="1573"/>
        <v>5.2264607678092148</v>
      </c>
      <c r="F521" s="182">
        <f t="shared" si="1573"/>
        <v>4.6168133126467179</v>
      </c>
      <c r="G521" s="182">
        <f t="shared" ref="G521:I521" si="1577">+G342/G163</f>
        <v>5.2919755104943569</v>
      </c>
      <c r="H521" s="182">
        <f t="shared" si="1577"/>
        <v>5.2644139857017356</v>
      </c>
      <c r="I521" s="182">
        <f t="shared" si="1577"/>
        <v>4.9862035743040929</v>
      </c>
      <c r="J521" s="183">
        <f t="shared" ref="J521" si="1578">+J342/J163</f>
        <v>5.4195883793466306</v>
      </c>
      <c r="K521" s="183"/>
      <c r="L521" s="137"/>
      <c r="M521" s="3"/>
      <c r="N521" s="134" t="s">
        <v>14</v>
      </c>
      <c r="O521" s="182">
        <f t="shared" si="1574"/>
        <v>4.6606199199169831</v>
      </c>
      <c r="P521" s="182">
        <f t="shared" si="1574"/>
        <v>4.76924603028493</v>
      </c>
      <c r="Q521" s="182">
        <f t="shared" si="1574"/>
        <v>5.1514765157805051</v>
      </c>
      <c r="R521" s="182">
        <f t="shared" si="1574"/>
        <v>5.0998887680743854</v>
      </c>
      <c r="S521" s="182">
        <f t="shared" si="1574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5.345164565516253</v>
      </c>
      <c r="Y521" s="149">
        <f>+X521/W521-1</f>
        <v>4.55893515907837E-2</v>
      </c>
      <c r="Z521" s="156">
        <f>+POWER(X521/S521,0.2)-1</f>
        <v>2.0580930997893265E-2</v>
      </c>
    </row>
    <row r="522" spans="1:26" ht="25.5" x14ac:dyDescent="0.25">
      <c r="A522" s="135" t="s">
        <v>15</v>
      </c>
      <c r="B522" s="138">
        <f t="shared" ref="B522:I522" si="1579">+B521/B$539</f>
        <v>1.4582261732598023</v>
      </c>
      <c r="C522" s="138">
        <f t="shared" si="1579"/>
        <v>1.368715950938135</v>
      </c>
      <c r="D522" s="138">
        <f t="shared" si="1579"/>
        <v>1.7325862610665446</v>
      </c>
      <c r="E522" s="138">
        <f t="shared" si="1579"/>
        <v>2.0014500398046673</v>
      </c>
      <c r="F522" s="138">
        <f t="shared" si="1579"/>
        <v>2.3129631338324828</v>
      </c>
      <c r="G522" s="138">
        <f t="shared" si="1579"/>
        <v>1.8500878221098938</v>
      </c>
      <c r="H522" s="138">
        <f t="shared" si="1579"/>
        <v>1.6496938702701252</v>
      </c>
      <c r="I522" s="138">
        <f t="shared" si="1579"/>
        <v>1.414115611891922</v>
      </c>
      <c r="J522" s="139">
        <f t="shared" ref="J522" si="1580">+J521/J$539</f>
        <v>1.553971623867082</v>
      </c>
      <c r="K522" s="139"/>
      <c r="L522" s="140"/>
      <c r="M522" s="3"/>
      <c r="N522" s="135" t="s">
        <v>15</v>
      </c>
      <c r="O522" s="138">
        <f t="shared" ref="O522:T522" si="1581">+O521/O$539</f>
        <v>1.4993179631228668</v>
      </c>
      <c r="P522" s="138">
        <f t="shared" si="1581"/>
        <v>1.4154027836608742</v>
      </c>
      <c r="Q522" s="138">
        <f t="shared" si="1581"/>
        <v>1.4985413241698924</v>
      </c>
      <c r="R522" s="138">
        <f t="shared" si="1581"/>
        <v>1.8493805776997823</v>
      </c>
      <c r="S522" s="138">
        <f t="shared" si="1581"/>
        <v>2.2874179427068819</v>
      </c>
      <c r="T522" s="138">
        <f t="shared" si="1581"/>
        <v>2.0280871866219661</v>
      </c>
      <c r="U522" s="138">
        <f t="shared" ref="U522:X522" si="1582">+U521/U$539</f>
        <v>1.7495368349000677</v>
      </c>
      <c r="V522" s="138">
        <f t="shared" si="1582"/>
        <v>1.5575340647091014</v>
      </c>
      <c r="W522" s="139">
        <f t="shared" si="1582"/>
        <v>1.4575119474869553</v>
      </c>
      <c r="X522" s="139">
        <f t="shared" si="1582"/>
        <v>1.5311090058867913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583">+D521/C521-1</f>
        <v>5.9213132231215715E-2</v>
      </c>
      <c r="E523" s="142">
        <f t="shared" ref="E523" si="1584">+E521/D521-1</f>
        <v>3.9544279667929061E-3</v>
      </c>
      <c r="F523" s="142">
        <f t="shared" ref="F523:H523" si="1585">+F521/E521-1</f>
        <v>-0.11664632764823069</v>
      </c>
      <c r="G523" s="142">
        <f t="shared" si="1585"/>
        <v>0.14623987415696105</v>
      </c>
      <c r="H523" s="142">
        <f t="shared" si="1585"/>
        <v>-5.2081731553679234E-3</v>
      </c>
      <c r="I523" s="142">
        <f t="shared" ref="I523:J523" si="1586">+I521/H521-1</f>
        <v>-5.2847365756809483E-2</v>
      </c>
      <c r="J523" s="143">
        <f t="shared" si="1586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587">+Q521/P521-1</f>
        <v>8.0144845342092763E-2</v>
      </c>
      <c r="R523" s="142">
        <f t="shared" ref="R523" si="1588">+R521/Q521-1</f>
        <v>-1.0014167306808264E-2</v>
      </c>
      <c r="S523" s="142">
        <f t="shared" ref="S523" si="1589">+S521/R521-1</f>
        <v>-5.3407347416802309E-2</v>
      </c>
      <c r="T523" s="142">
        <f t="shared" ref="T523:V523" si="1590">+T521/S521-1</f>
        <v>3.8760745614220715E-2</v>
      </c>
      <c r="U523" s="142">
        <f t="shared" si="1590"/>
        <v>5.5156877623055323E-2</v>
      </c>
      <c r="V523" s="142">
        <f t="shared" si="1590"/>
        <v>-7.2058132204766423E-4</v>
      </c>
      <c r="W523" s="143">
        <f t="shared" ref="W523" si="1591">+W521/V521-1</f>
        <v>-3.3155592069644246E-2</v>
      </c>
      <c r="X523" s="143">
        <f t="shared" ref="X523" si="1592">+X521/W521-1</f>
        <v>4.55893515907837E-2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6" t="s">
        <v>98</v>
      </c>
      <c r="B525" s="377"/>
      <c r="C525" s="377"/>
      <c r="D525" s="377"/>
      <c r="E525" s="377"/>
      <c r="F525" s="377"/>
      <c r="G525" s="377"/>
      <c r="H525" s="377"/>
      <c r="I525" s="377"/>
      <c r="J525" s="377"/>
      <c r="K525" s="377"/>
      <c r="L525" s="378"/>
      <c r="M525" s="2"/>
      <c r="N525" s="376" t="s">
        <v>99</v>
      </c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8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593">+C526+1</f>
        <v>2018</v>
      </c>
      <c r="E526" s="129">
        <f t="shared" ref="E526" si="1594">+D526+1</f>
        <v>2019</v>
      </c>
      <c r="F526" s="129">
        <f t="shared" ref="F526" si="1595">+E526+1</f>
        <v>2020</v>
      </c>
      <c r="G526" s="129">
        <f t="shared" ref="G526" si="1596">+F526+1</f>
        <v>2021</v>
      </c>
      <c r="H526" s="129">
        <f t="shared" ref="H526" si="1597">+G526+1</f>
        <v>2022</v>
      </c>
      <c r="I526" s="129">
        <f t="shared" ref="I526" si="1598">+H526+1</f>
        <v>2023</v>
      </c>
      <c r="J526" s="130">
        <f t="shared" ref="J526:K526" si="1599">+I526+1</f>
        <v>2024</v>
      </c>
      <c r="K526" s="130">
        <f t="shared" si="1599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600">+P526+1</f>
        <v>2018</v>
      </c>
      <c r="R526" s="129">
        <f t="shared" si="1600"/>
        <v>2019</v>
      </c>
      <c r="S526" s="129">
        <f t="shared" si="1600"/>
        <v>2020</v>
      </c>
      <c r="T526" s="129">
        <f t="shared" si="1600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601">+B348/B169</f>
        <v>2.8036463590368634</v>
      </c>
      <c r="C527" s="158">
        <f t="shared" si="1601"/>
        <v>3.0623701654241349</v>
      </c>
      <c r="D527" s="158">
        <f t="shared" si="1601"/>
        <v>3.736407943326018</v>
      </c>
      <c r="E527" s="158">
        <f t="shared" si="1601"/>
        <v>2.3291054487600209</v>
      </c>
      <c r="F527" s="158">
        <f t="shared" si="1601"/>
        <v>1.4408141362543434</v>
      </c>
      <c r="G527" s="158">
        <f t="shared" si="1601"/>
        <v>2.705962218259117</v>
      </c>
      <c r="H527" s="158">
        <f t="shared" ref="H527:J527" si="1602">+H348/H169</f>
        <v>2.6523049517409882</v>
      </c>
      <c r="I527" s="158">
        <f t="shared" si="1602"/>
        <v>3.4427654330699413</v>
      </c>
      <c r="J527" s="180">
        <f t="shared" si="1602"/>
        <v>3.3095697682651517</v>
      </c>
      <c r="K527" s="180">
        <f t="shared" ref="K527" si="1603">+K348/K169</f>
        <v>3.3674897133065058</v>
      </c>
      <c r="L527" s="127">
        <f t="shared" ref="L527:L532" si="1604">+K527/J527-1</f>
        <v>1.7500747558410135E-2</v>
      </c>
      <c r="M527" s="2"/>
      <c r="N527" s="133" t="s">
        <v>10</v>
      </c>
      <c r="O527" s="158">
        <f t="shared" ref="O527:U536" si="1605">+O348/O169</f>
        <v>3.0400663788868432</v>
      </c>
      <c r="P527" s="158">
        <f t="shared" si="1605"/>
        <v>3.1695775890840205</v>
      </c>
      <c r="Q527" s="158">
        <f t="shared" si="1605"/>
        <v>3.6454516409668614</v>
      </c>
      <c r="R527" s="158">
        <f t="shared" si="1605"/>
        <v>2.9132528402294997</v>
      </c>
      <c r="S527" s="158">
        <f t="shared" si="1605"/>
        <v>2.4960836786724014</v>
      </c>
      <c r="T527" s="158">
        <f t="shared" si="1605"/>
        <v>2.0883994723654431</v>
      </c>
      <c r="U527" s="158">
        <f t="shared" si="1605"/>
        <v>2.8604395613110132</v>
      </c>
      <c r="V527" s="158">
        <f t="shared" ref="V527:X532" si="1606">+V348/V169</f>
        <v>3.2381488427972633</v>
      </c>
      <c r="W527" s="180">
        <f t="shared" si="1606"/>
        <v>3.5182797838585769</v>
      </c>
      <c r="X527" s="180">
        <f t="shared" si="1606"/>
        <v>3.4922417299536677</v>
      </c>
      <c r="Y527" s="147">
        <f t="shared" ref="Y527:Y532" si="1607">+X527/W527-1</f>
        <v>-7.4007911549185401E-3</v>
      </c>
      <c r="Z527" s="127">
        <f t="shared" ref="Z527:Z532" si="1608">+POWER(X527/S527,0.2)-1</f>
        <v>6.947104619332789E-2</v>
      </c>
    </row>
    <row r="528" spans="1:26" x14ac:dyDescent="0.25">
      <c r="A528" s="248" t="s">
        <v>11</v>
      </c>
      <c r="B528" s="158">
        <f t="shared" si="1601"/>
        <v>2.8741786430247442</v>
      </c>
      <c r="C528" s="158">
        <f t="shared" si="1601"/>
        <v>3.4799008550392343</v>
      </c>
      <c r="D528" s="158">
        <f t="shared" si="1601"/>
        <v>3.7097429339650163</v>
      </c>
      <c r="E528" s="158">
        <f t="shared" si="1601"/>
        <v>2.6582960877274222</v>
      </c>
      <c r="F528" s="158">
        <f t="shared" si="1601"/>
        <v>1.4993601849409242</v>
      </c>
      <c r="G528" s="158">
        <f t="shared" si="1601"/>
        <v>2.6611027360117303</v>
      </c>
      <c r="H528" s="158">
        <f t="shared" ref="H528:J528" si="1609">+H349/H170</f>
        <v>3.1258674770872155</v>
      </c>
      <c r="I528" s="158">
        <f t="shared" si="1609"/>
        <v>3.375374507161963</v>
      </c>
      <c r="J528" s="180">
        <f t="shared" si="1609"/>
        <v>3.2991353691334515</v>
      </c>
      <c r="K528" s="180">
        <f>+K349/K170</f>
        <v>3.3087608939780777</v>
      </c>
      <c r="L528" s="127">
        <f t="shared" si="1604"/>
        <v>2.9175901464009169E-3</v>
      </c>
      <c r="M528" s="2"/>
      <c r="N528" s="133" t="s">
        <v>11</v>
      </c>
      <c r="O528" s="158">
        <f t="shared" si="1605"/>
        <v>3.0433214681029379</v>
      </c>
      <c r="P528" s="158">
        <f t="shared" si="1605"/>
        <v>3.2123067077651091</v>
      </c>
      <c r="Q528" s="158">
        <f t="shared" si="1605"/>
        <v>3.6615453558994879</v>
      </c>
      <c r="R528" s="158">
        <f t="shared" si="1605"/>
        <v>2.8535638717971179</v>
      </c>
      <c r="S528" s="158">
        <f t="shared" si="1605"/>
        <v>2.3645465945156996</v>
      </c>
      <c r="T528" s="158">
        <f t="shared" si="1605"/>
        <v>2.1925381339992209</v>
      </c>
      <c r="U528" s="158">
        <f t="shared" si="1605"/>
        <v>2.8963977423923724</v>
      </c>
      <c r="V528" s="158">
        <f t="shared" ref="V528:W538" si="1610">+V349/V170</f>
        <v>3.2563495702994856</v>
      </c>
      <c r="W528" s="180">
        <f t="shared" si="1610"/>
        <v>3.5135754672468229</v>
      </c>
      <c r="X528" s="180">
        <f t="shared" si="1606"/>
        <v>3.4923826193684344</v>
      </c>
      <c r="Y528" s="147">
        <f t="shared" si="1607"/>
        <v>-6.0317041930494364E-3</v>
      </c>
      <c r="Z528" s="127">
        <f t="shared" si="1608"/>
        <v>8.1122207511009847E-2</v>
      </c>
    </row>
    <row r="529" spans="1:26" x14ac:dyDescent="0.25">
      <c r="A529" s="248" t="s">
        <v>0</v>
      </c>
      <c r="B529" s="158">
        <f t="shared" si="1601"/>
        <v>3.1943318534733787</v>
      </c>
      <c r="C529" s="158">
        <f t="shared" si="1601"/>
        <v>3.6919834348676672</v>
      </c>
      <c r="D529" s="158">
        <f t="shared" si="1601"/>
        <v>3.6414442686303796</v>
      </c>
      <c r="E529" s="158">
        <f t="shared" si="1601"/>
        <v>3.1757200077601548</v>
      </c>
      <c r="F529" s="158">
        <f t="shared" si="1601"/>
        <v>1.690332674181636</v>
      </c>
      <c r="G529" s="158">
        <f t="shared" si="1601"/>
        <v>2.4956551856399427</v>
      </c>
      <c r="H529" s="158">
        <f t="shared" ref="H529:J529" si="1611">+H350/H171</f>
        <v>2.8575660042945445</v>
      </c>
      <c r="I529" s="158">
        <f t="shared" si="1611"/>
        <v>3.4409133451693927</v>
      </c>
      <c r="J529" s="180">
        <f t="shared" si="1611"/>
        <v>3.5894832883461971</v>
      </c>
      <c r="K529" s="180">
        <f>+K350/K171</f>
        <v>3.5866569863117421</v>
      </c>
      <c r="L529" s="127">
        <f t="shared" si="1604"/>
        <v>-7.8738409052658831E-4</v>
      </c>
      <c r="M529" s="2"/>
      <c r="N529" s="133" t="s">
        <v>0</v>
      </c>
      <c r="O529" s="158">
        <f t="shared" si="1605"/>
        <v>3.1023384123934843</v>
      </c>
      <c r="P529" s="158">
        <f t="shared" si="1605"/>
        <v>3.246211192343321</v>
      </c>
      <c r="Q529" s="158">
        <f t="shared" si="1605"/>
        <v>3.657538073888468</v>
      </c>
      <c r="R529" s="158">
        <f t="shared" si="1605"/>
        <v>2.8267699753238058</v>
      </c>
      <c r="S529" s="158">
        <f t="shared" si="1605"/>
        <v>2.2472877497421879</v>
      </c>
      <c r="T529" s="158">
        <f t="shared" si="1605"/>
        <v>2.2683054199575876</v>
      </c>
      <c r="U529" s="158">
        <f t="shared" si="1605"/>
        <v>2.9312598017561724</v>
      </c>
      <c r="V529" s="158">
        <f t="shared" si="1610"/>
        <v>3.3080703559610511</v>
      </c>
      <c r="W529" s="180">
        <f t="shared" si="1610"/>
        <v>3.5267376687552683</v>
      </c>
      <c r="X529" s="180">
        <f t="shared" si="1606"/>
        <v>3.4924275204627762</v>
      </c>
      <c r="Y529" s="147">
        <f t="shared" si="1607"/>
        <v>-9.7285796435779837E-3</v>
      </c>
      <c r="Z529" s="127">
        <f t="shared" si="1608"/>
        <v>9.217880296715486E-2</v>
      </c>
    </row>
    <row r="530" spans="1:26" x14ac:dyDescent="0.25">
      <c r="A530" s="248" t="s">
        <v>1</v>
      </c>
      <c r="B530" s="158">
        <f t="shared" si="1601"/>
        <v>3.2093973586887761</v>
      </c>
      <c r="C530" s="158">
        <f t="shared" si="1601"/>
        <v>3.5918816815321506</v>
      </c>
      <c r="D530" s="158">
        <f t="shared" si="1601"/>
        <v>3.4145776858772079</v>
      </c>
      <c r="E530" s="158">
        <f t="shared" si="1601"/>
        <v>2.7930040508404819</v>
      </c>
      <c r="F530" s="158">
        <f t="shared" si="1601"/>
        <v>2.1231418564982527</v>
      </c>
      <c r="G530" s="158">
        <f t="shared" si="1601"/>
        <v>2.9021156812069853</v>
      </c>
      <c r="H530" s="158">
        <f t="shared" ref="H530:J530" si="1612">+H351/H172</f>
        <v>2.905511910430103</v>
      </c>
      <c r="I530" s="158">
        <f t="shared" si="1612"/>
        <v>3.5464639049148716</v>
      </c>
      <c r="J530" s="180">
        <f t="shared" si="1612"/>
        <v>3.3401412158318258</v>
      </c>
      <c r="K530" s="180">
        <f>+K351/K172</f>
        <v>3.5481109747468031</v>
      </c>
      <c r="L530" s="127">
        <f t="shared" si="1604"/>
        <v>6.2263762361072672E-2</v>
      </c>
      <c r="M530" s="2"/>
      <c r="N530" s="133" t="s">
        <v>1</v>
      </c>
      <c r="O530" s="158">
        <f t="shared" si="1605"/>
        <v>3.1306491899283246</v>
      </c>
      <c r="P530" s="158">
        <f t="shared" si="1605"/>
        <v>3.2733707736465707</v>
      </c>
      <c r="Q530" s="158">
        <f t="shared" si="1605"/>
        <v>3.6418231283443716</v>
      </c>
      <c r="R530" s="158">
        <f t="shared" si="1605"/>
        <v>2.7861064536635842</v>
      </c>
      <c r="S530" s="158">
        <f t="shared" si="1605"/>
        <v>2.2026685083008672</v>
      </c>
      <c r="T530" s="158">
        <f t="shared" si="1605"/>
        <v>2.3195575096078787</v>
      </c>
      <c r="U530" s="158">
        <f t="shared" si="1605"/>
        <v>2.9314341194637117</v>
      </c>
      <c r="V530" s="158">
        <f t="shared" si="1610"/>
        <v>3.3641039786456628</v>
      </c>
      <c r="W530" s="180">
        <f t="shared" ref="W530" si="1613">+W351/W172</f>
        <v>3.5092766512688529</v>
      </c>
      <c r="X530" s="180">
        <f t="shared" si="1606"/>
        <v>3.5086232074651469</v>
      </c>
      <c r="Y530" s="147">
        <f t="shared" si="1607"/>
        <v>-1.8620469932739692E-4</v>
      </c>
      <c r="Z530" s="127">
        <f t="shared" si="1608"/>
        <v>9.7583368929053504E-2</v>
      </c>
    </row>
    <row r="531" spans="1:26" x14ac:dyDescent="0.25">
      <c r="A531" s="248" t="s">
        <v>2</v>
      </c>
      <c r="B531" s="158">
        <f t="shared" si="1601"/>
        <v>3.1918897228930172</v>
      </c>
      <c r="C531" s="158">
        <f t="shared" si="1601"/>
        <v>3.7780269670896591</v>
      </c>
      <c r="D531" s="158">
        <f t="shared" si="1601"/>
        <v>3.5075528027077514</v>
      </c>
      <c r="E531" s="158">
        <f t="shared" si="1601"/>
        <v>3.0616255615365646</v>
      </c>
      <c r="F531" s="158">
        <f t="shared" si="1601"/>
        <v>2.0206155598243249</v>
      </c>
      <c r="G531" s="158">
        <f t="shared" si="1601"/>
        <v>2.5687940902782773</v>
      </c>
      <c r="H531" s="158">
        <f t="shared" ref="H531:J538" si="1614">+H352/H173</f>
        <v>3.4186813188171197</v>
      </c>
      <c r="I531" s="158">
        <f t="shared" si="1614"/>
        <v>3.2758001781417514</v>
      </c>
      <c r="J531" s="180">
        <f t="shared" si="1614"/>
        <v>3.6679181143078514</v>
      </c>
      <c r="K531" s="180">
        <f>+K352/K173</f>
        <v>3.4855302514325839</v>
      </c>
      <c r="L531" s="127">
        <f t="shared" si="1604"/>
        <v>-4.9725173024939395E-2</v>
      </c>
      <c r="M531" s="2"/>
      <c r="N531" s="133" t="s">
        <v>2</v>
      </c>
      <c r="O531" s="158">
        <f t="shared" si="1605"/>
        <v>3.1359087321166808</v>
      </c>
      <c r="P531" s="158">
        <f t="shared" si="1605"/>
        <v>3.3178492896317731</v>
      </c>
      <c r="Q531" s="158">
        <f t="shared" si="1605"/>
        <v>3.6204287910540338</v>
      </c>
      <c r="R531" s="158">
        <f t="shared" si="1605"/>
        <v>2.7639917070616282</v>
      </c>
      <c r="S531" s="158">
        <f t="shared" si="1605"/>
        <v>2.1318262256821536</v>
      </c>
      <c r="T531" s="158">
        <f t="shared" si="1605"/>
        <v>2.3723767058186738</v>
      </c>
      <c r="U531" s="158">
        <f t="shared" si="1605"/>
        <v>3.0148257489284171</v>
      </c>
      <c r="V531" s="158">
        <f t="shared" si="1610"/>
        <v>3.3515484993817903</v>
      </c>
      <c r="W531" s="180">
        <f t="shared" ref="W531:W535" si="1615">+W352/W173</f>
        <v>3.54396080028845</v>
      </c>
      <c r="X531" s="180">
        <f t="shared" si="1606"/>
        <v>3.4933581121013035</v>
      </c>
      <c r="Y531" s="147">
        <f t="shared" si="1607"/>
        <v>-1.4278568821367243E-2</v>
      </c>
      <c r="Z531" s="127">
        <f t="shared" si="1608"/>
        <v>0.10382000719965623</v>
      </c>
    </row>
    <row r="532" spans="1:26" x14ac:dyDescent="0.25">
      <c r="A532" s="248" t="s">
        <v>3</v>
      </c>
      <c r="B532" s="158">
        <f t="shared" si="1601"/>
        <v>3.0462250145935772</v>
      </c>
      <c r="C532" s="158">
        <f t="shared" si="1601"/>
        <v>3.4977800070650278</v>
      </c>
      <c r="D532" s="158">
        <f t="shared" si="1601"/>
        <v>3.8099715562600585</v>
      </c>
      <c r="E532" s="158">
        <f t="shared" si="1601"/>
        <v>3.1788361440238799</v>
      </c>
      <c r="F532" s="158">
        <f t="shared" si="1601"/>
        <v>1.7629708403572044</v>
      </c>
      <c r="G532" s="158">
        <f t="shared" si="1601"/>
        <v>2.931285016801584</v>
      </c>
      <c r="H532" s="158">
        <f t="shared" si="1614"/>
        <v>3.1053805941694379</v>
      </c>
      <c r="I532" s="158">
        <f t="shared" si="1614"/>
        <v>3.7459478969204514</v>
      </c>
      <c r="J532" s="180">
        <f t="shared" ref="J532:J538" si="1616">+J353/J174</f>
        <v>3.8294092426702666</v>
      </c>
      <c r="K532" s="180">
        <f>+K353/K174</f>
        <v>3.3416838241663873</v>
      </c>
      <c r="L532" s="127">
        <f t="shared" si="1604"/>
        <v>-0.12736309639337107</v>
      </c>
      <c r="M532" s="2"/>
      <c r="N532" s="133" t="s">
        <v>3</v>
      </c>
      <c r="O532" s="158">
        <f t="shared" si="1605"/>
        <v>3.1302825179430087</v>
      </c>
      <c r="P532" s="158">
        <f t="shared" si="1605"/>
        <v>3.3523228672248124</v>
      </c>
      <c r="Q532" s="158">
        <f t="shared" si="1605"/>
        <v>3.6451395590895999</v>
      </c>
      <c r="R532" s="158">
        <f t="shared" si="1605"/>
        <v>2.7335682884984642</v>
      </c>
      <c r="S532" s="158">
        <f t="shared" si="1605"/>
        <v>2.0570229405237295</v>
      </c>
      <c r="T532" s="158">
        <f t="shared" si="1605"/>
        <v>2.4551423711804006</v>
      </c>
      <c r="U532" s="158">
        <f t="shared" si="1605"/>
        <v>3.0284037919652853</v>
      </c>
      <c r="V532" s="158">
        <f t="shared" si="1610"/>
        <v>3.3992652659738822</v>
      </c>
      <c r="W532" s="180">
        <f t="shared" si="1615"/>
        <v>3.5444548209341815</v>
      </c>
      <c r="X532" s="180">
        <f t="shared" si="1606"/>
        <v>3.4678371694616446</v>
      </c>
      <c r="Y532" s="147">
        <f t="shared" si="1607"/>
        <v>-2.1616202023515552E-2</v>
      </c>
      <c r="Z532" s="127">
        <f t="shared" si="1608"/>
        <v>0.1101046259557632</v>
      </c>
    </row>
    <row r="533" spans="1:26" x14ac:dyDescent="0.25">
      <c r="A533" s="248" t="s">
        <v>4</v>
      </c>
      <c r="B533" s="158">
        <f t="shared" si="1601"/>
        <v>3.063898313331479</v>
      </c>
      <c r="C533" s="158">
        <f t="shared" si="1601"/>
        <v>3.5444340212893612</v>
      </c>
      <c r="D533" s="158">
        <f t="shared" si="1601"/>
        <v>3.2730202952459617</v>
      </c>
      <c r="E533" s="158">
        <f t="shared" si="1601"/>
        <v>2.724260173053477</v>
      </c>
      <c r="F533" s="158">
        <f t="shared" si="1601"/>
        <v>2.2969390243051975</v>
      </c>
      <c r="G533" s="158">
        <f t="shared" si="1601"/>
        <v>3.1678000434028899</v>
      </c>
      <c r="H533" s="158">
        <f t="shared" si="1614"/>
        <v>3.4530073019674377</v>
      </c>
      <c r="I533" s="158">
        <f t="shared" si="1614"/>
        <v>3.9556860747048601</v>
      </c>
      <c r="J533" s="180">
        <f t="shared" si="1616"/>
        <v>3.4895905423685343</v>
      </c>
      <c r="K533" s="180"/>
      <c r="L533" s="127"/>
      <c r="M533" s="2"/>
      <c r="N533" s="133" t="s">
        <v>4</v>
      </c>
      <c r="O533" s="158">
        <f t="shared" si="1605"/>
        <v>3.114497395958177</v>
      </c>
      <c r="P533" s="158">
        <f t="shared" si="1605"/>
        <v>3.3929689186113006</v>
      </c>
      <c r="Q533" s="158">
        <f t="shared" si="1605"/>
        <v>3.6171468976065779</v>
      </c>
      <c r="R533" s="158">
        <f t="shared" si="1605"/>
        <v>2.6936914488927752</v>
      </c>
      <c r="S533" s="158">
        <f t="shared" si="1605"/>
        <v>2.0286572530285132</v>
      </c>
      <c r="T533" s="158">
        <f t="shared" si="1605"/>
        <v>2.5221901600267369</v>
      </c>
      <c r="U533" s="158">
        <f t="shared" si="1605"/>
        <v>3.0409097324541148</v>
      </c>
      <c r="V533" s="158">
        <f t="shared" si="1610"/>
        <v>3.4360447784530259</v>
      </c>
      <c r="W533" s="180">
        <f t="shared" si="1615"/>
        <v>3.5039080009644796</v>
      </c>
      <c r="X533" s="180"/>
      <c r="Y533" s="147"/>
      <c r="Z533" s="127"/>
    </row>
    <row r="534" spans="1:26" x14ac:dyDescent="0.25">
      <c r="A534" s="248" t="s">
        <v>5</v>
      </c>
      <c r="B534" s="158">
        <f t="shared" si="1601"/>
        <v>3.2307309931525698</v>
      </c>
      <c r="C534" s="158">
        <f t="shared" si="1601"/>
        <v>3.518279345219006</v>
      </c>
      <c r="D534" s="158">
        <f t="shared" si="1601"/>
        <v>2.7876287426878137</v>
      </c>
      <c r="E534" s="158">
        <f t="shared" si="1601"/>
        <v>2.6989308518554531</v>
      </c>
      <c r="F534" s="158">
        <f t="shared" si="1601"/>
        <v>2.2056566031316009</v>
      </c>
      <c r="G534" s="158">
        <f t="shared" si="1601"/>
        <v>3.0201197269663487</v>
      </c>
      <c r="H534" s="158">
        <f t="shared" si="1614"/>
        <v>3.539704442766777</v>
      </c>
      <c r="I534" s="158">
        <f t="shared" si="1614"/>
        <v>3.6636113295250268</v>
      </c>
      <c r="J534" s="180">
        <f t="shared" si="1616"/>
        <v>3.416480594112949</v>
      </c>
      <c r="K534" s="180"/>
      <c r="L534" s="127"/>
      <c r="M534" s="2"/>
      <c r="N534" s="133" t="s">
        <v>5</v>
      </c>
      <c r="O534" s="158">
        <f t="shared" si="1605"/>
        <v>3.1253162149272025</v>
      </c>
      <c r="P534" s="158">
        <f t="shared" si="1605"/>
        <v>3.422170564965322</v>
      </c>
      <c r="Q534" s="158">
        <f t="shared" si="1605"/>
        <v>3.5215122754407866</v>
      </c>
      <c r="R534" s="158">
        <f t="shared" si="1605"/>
        <v>2.6852552207789153</v>
      </c>
      <c r="S534" s="158">
        <f t="shared" si="1605"/>
        <v>1.998991796235696</v>
      </c>
      <c r="T534" s="158">
        <f t="shared" si="1605"/>
        <v>2.5963877253380314</v>
      </c>
      <c r="U534" s="158">
        <f t="shared" si="1605"/>
        <v>3.0883163757815586</v>
      </c>
      <c r="V534" s="158">
        <f t="shared" si="1610"/>
        <v>3.4392335136355934</v>
      </c>
      <c r="W534" s="180">
        <f t="shared" si="1615"/>
        <v>3.4830776383469266</v>
      </c>
      <c r="X534" s="180"/>
      <c r="Y534" s="147"/>
      <c r="Z534" s="127"/>
    </row>
    <row r="535" spans="1:26" x14ac:dyDescent="0.25">
      <c r="A535" s="248" t="s">
        <v>6</v>
      </c>
      <c r="B535" s="158">
        <f t="shared" si="1601"/>
        <v>3.2085657719918452</v>
      </c>
      <c r="C535" s="158">
        <f t="shared" si="1601"/>
        <v>3.6340284382767836</v>
      </c>
      <c r="D535" s="158">
        <f t="shared" si="1601"/>
        <v>2.0912944452867657</v>
      </c>
      <c r="E535" s="158">
        <f t="shared" si="1601"/>
        <v>2.6537299625082795</v>
      </c>
      <c r="F535" s="158">
        <f t="shared" si="1601"/>
        <v>2.423358782901615</v>
      </c>
      <c r="G535" s="158">
        <f t="shared" si="1601"/>
        <v>3.2309113836203891</v>
      </c>
      <c r="H535" s="158">
        <f t="shared" si="1614"/>
        <v>3.2084403064440012</v>
      </c>
      <c r="I535" s="158">
        <f>+I356/I177</f>
        <v>3.6928112485889026</v>
      </c>
      <c r="J535" s="180">
        <f t="shared" si="1616"/>
        <v>3.6208513417358779</v>
      </c>
      <c r="K535" s="180"/>
      <c r="L535" s="127"/>
      <c r="M535" s="2"/>
      <c r="N535" s="133" t="s">
        <v>6</v>
      </c>
      <c r="O535" s="158">
        <f t="shared" si="1605"/>
        <v>3.1067057685697357</v>
      </c>
      <c r="P535" s="158">
        <f t="shared" si="1605"/>
        <v>3.464679698774646</v>
      </c>
      <c r="Q535" s="158">
        <f t="shared" si="1605"/>
        <v>3.2885057749139044</v>
      </c>
      <c r="R535" s="158">
        <f t="shared" si="1605"/>
        <v>2.7598983533845041</v>
      </c>
      <c r="S535" s="158">
        <f t="shared" si="1605"/>
        <v>1.9838177672666828</v>
      </c>
      <c r="T535" s="158">
        <f t="shared" si="1605"/>
        <v>2.669338224384755</v>
      </c>
      <c r="U535" s="158">
        <f t="shared" si="1605"/>
        <v>3.0851698794801576</v>
      </c>
      <c r="V535" s="158">
        <f t="shared" si="1610"/>
        <v>3.4936485643376045</v>
      </c>
      <c r="W535" s="180">
        <f t="shared" si="1615"/>
        <v>3.4768973856040986</v>
      </c>
      <c r="X535" s="180"/>
      <c r="Y535" s="147"/>
      <c r="Z535" s="127"/>
    </row>
    <row r="536" spans="1:26" x14ac:dyDescent="0.25">
      <c r="A536" s="248" t="s">
        <v>7</v>
      </c>
      <c r="B536" s="158">
        <f t="shared" si="1601"/>
        <v>3.2350689532611145</v>
      </c>
      <c r="C536" s="158">
        <f t="shared" si="1601"/>
        <v>3.7788150566793313</v>
      </c>
      <c r="D536" s="158">
        <f t="shared" si="1601"/>
        <v>2.3220924335577688</v>
      </c>
      <c r="E536" s="158">
        <f t="shared" si="1601"/>
        <v>2.3014868557790416</v>
      </c>
      <c r="F536" s="158">
        <f t="shared" si="1601"/>
        <v>2.1970771062573271</v>
      </c>
      <c r="G536" s="158">
        <f t="shared" si="1601"/>
        <v>2.9698411018480013</v>
      </c>
      <c r="H536" s="158">
        <f t="shared" si="1614"/>
        <v>3.3397722268217991</v>
      </c>
      <c r="I536" s="158">
        <f t="shared" si="1614"/>
        <v>3.4323803306666187</v>
      </c>
      <c r="J536" s="180">
        <f t="shared" si="1616"/>
        <v>3.7031391616184939</v>
      </c>
      <c r="K536" s="180"/>
      <c r="L536" s="127"/>
      <c r="M536" s="2"/>
      <c r="N536" s="133" t="s">
        <v>7</v>
      </c>
      <c r="O536" s="158">
        <f t="shared" si="1605"/>
        <v>3.0956259882973227</v>
      </c>
      <c r="P536" s="158">
        <f t="shared" si="1605"/>
        <v>3.5170733407417791</v>
      </c>
      <c r="Q536" s="158">
        <f t="shared" si="1605"/>
        <v>3.1260221212092714</v>
      </c>
      <c r="R536" s="158">
        <f t="shared" si="1605"/>
        <v>2.7629144494165452</v>
      </c>
      <c r="S536" s="158">
        <f t="shared" si="1605"/>
        <v>1.9771462817104928</v>
      </c>
      <c r="T536" s="158">
        <f t="shared" si="1605"/>
        <v>2.7462485570726587</v>
      </c>
      <c r="U536" s="158">
        <f t="shared" si="1605"/>
        <v>3.117370879374604</v>
      </c>
      <c r="V536" s="158">
        <f t="shared" si="1610"/>
        <v>3.5056031453119791</v>
      </c>
      <c r="W536" s="180">
        <f t="shared" si="1610"/>
        <v>3.5004772606965355</v>
      </c>
      <c r="X536" s="180"/>
      <c r="Y536" s="147"/>
      <c r="Z536" s="127"/>
    </row>
    <row r="537" spans="1:26" x14ac:dyDescent="0.25">
      <c r="A537" s="248" t="s">
        <v>8</v>
      </c>
      <c r="B537" s="158">
        <f t="shared" ref="B537:G539" si="1617">+B358/B179</f>
        <v>3.451864781594792</v>
      </c>
      <c r="C537" s="158">
        <f t="shared" si="1617"/>
        <v>3.7550910053321873</v>
      </c>
      <c r="D537" s="158">
        <f t="shared" si="1617"/>
        <v>2.9336146395139475</v>
      </c>
      <c r="E537" s="158">
        <f t="shared" si="1617"/>
        <v>2.4619622158145229</v>
      </c>
      <c r="F537" s="158">
        <f t="shared" si="1617"/>
        <v>2.2571046487475823</v>
      </c>
      <c r="G537" s="158">
        <f t="shared" si="1617"/>
        <v>2.8287561865909407</v>
      </c>
      <c r="H537" s="158">
        <f t="shared" si="1614"/>
        <v>3.2033206612894949</v>
      </c>
      <c r="I537" s="158">
        <f t="shared" si="1614"/>
        <v>3.5515308624435531</v>
      </c>
      <c r="J537" s="180">
        <f t="shared" si="1616"/>
        <v>3.4028702559629354</v>
      </c>
      <c r="K537" s="180"/>
      <c r="L537" s="127"/>
      <c r="M537" s="2"/>
      <c r="N537" s="133" t="s">
        <v>8</v>
      </c>
      <c r="O537" s="158">
        <f t="shared" ref="O537:S539" si="1618">+O358/O179</f>
        <v>3.1326478118379768</v>
      </c>
      <c r="P537" s="158">
        <f t="shared" si="1618"/>
        <v>3.5405645873210809</v>
      </c>
      <c r="Q537" s="158">
        <f t="shared" si="1618"/>
        <v>3.0679640634576399</v>
      </c>
      <c r="R537" s="158">
        <f t="shared" si="1618"/>
        <v>2.7219183258873105</v>
      </c>
      <c r="S537" s="158">
        <f t="shared" si="1618"/>
        <v>1.9690903381684712</v>
      </c>
      <c r="T537" s="158">
        <f t="shared" ref="T537:U537" si="1619">+T358/T179</f>
        <v>2.8099662469860056</v>
      </c>
      <c r="U537" s="158">
        <f t="shared" si="1619"/>
        <v>3.152563352759568</v>
      </c>
      <c r="V537" s="158">
        <f t="shared" si="1610"/>
        <v>3.5359448809864027</v>
      </c>
      <c r="W537" s="180">
        <f t="shared" si="1610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617"/>
        <v>3.2079792917797469</v>
      </c>
      <c r="C538" s="158">
        <f t="shared" si="1617"/>
        <v>3.7807428972121766</v>
      </c>
      <c r="D538" s="158">
        <f t="shared" si="1617"/>
        <v>2.8909105502925798</v>
      </c>
      <c r="E538" s="158">
        <f t="shared" si="1617"/>
        <v>1.9320398234191591</v>
      </c>
      <c r="F538" s="158">
        <f t="shared" si="1617"/>
        <v>2.328617554162479</v>
      </c>
      <c r="G538" s="158">
        <f t="shared" si="1617"/>
        <v>2.9048058568534421</v>
      </c>
      <c r="H538" s="158">
        <f t="shared" si="1614"/>
        <v>3.364551827090994</v>
      </c>
      <c r="I538" s="158">
        <f t="shared" si="1614"/>
        <v>3.2610254129585909</v>
      </c>
      <c r="J538" s="180">
        <f t="shared" si="1616"/>
        <v>3.2743205950843834</v>
      </c>
      <c r="K538" s="180"/>
      <c r="L538" s="127"/>
      <c r="M538" s="2"/>
      <c r="N538" s="133" t="s">
        <v>9</v>
      </c>
      <c r="O538" s="158">
        <f t="shared" si="1618"/>
        <v>3.1506297529630811</v>
      </c>
      <c r="P538" s="158">
        <f t="shared" si="1618"/>
        <v>3.5908479025649171</v>
      </c>
      <c r="Q538" s="158">
        <f t="shared" si="1618"/>
        <v>3.0046841701506573</v>
      </c>
      <c r="R538" s="158">
        <f t="shared" si="1618"/>
        <v>2.6113371125263232</v>
      </c>
      <c r="S538" s="158">
        <f t="shared" si="1618"/>
        <v>1.9960600517643583</v>
      </c>
      <c r="T538" s="158">
        <f t="shared" ref="T538:U538" si="1620">+T359/T180</f>
        <v>2.8603915161493441</v>
      </c>
      <c r="U538" s="158">
        <f t="shared" si="1620"/>
        <v>3.1911459941593447</v>
      </c>
      <c r="V538" s="158">
        <f t="shared" si="1610"/>
        <v>3.5260225772015437</v>
      </c>
      <c r="W538" s="180">
        <f t="shared" si="1610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617"/>
        <v>3.1506297529630811</v>
      </c>
      <c r="C539" s="182">
        <f t="shared" si="1617"/>
        <v>3.5908479025649171</v>
      </c>
      <c r="D539" s="182">
        <f t="shared" si="1617"/>
        <v>3.0046841701506573</v>
      </c>
      <c r="E539" s="182">
        <f t="shared" si="1617"/>
        <v>2.6113371125263232</v>
      </c>
      <c r="F539" s="182">
        <f t="shared" si="1617"/>
        <v>1.9960600517643583</v>
      </c>
      <c r="G539" s="182">
        <f t="shared" ref="G539:I539" si="1621">+G360/G181</f>
        <v>2.8603915161493441</v>
      </c>
      <c r="H539" s="182">
        <f t="shared" si="1621"/>
        <v>3.1911459941593447</v>
      </c>
      <c r="I539" s="182">
        <f t="shared" si="1621"/>
        <v>3.5260225772015437</v>
      </c>
      <c r="J539" s="183">
        <f t="shared" ref="J539" si="1622">+J360/J181</f>
        <v>3.4875722928967665</v>
      </c>
      <c r="K539" s="183"/>
      <c r="L539" s="137"/>
      <c r="M539" s="3"/>
      <c r="N539" s="134" t="s">
        <v>14</v>
      </c>
      <c r="O539" s="182">
        <f t="shared" si="1618"/>
        <v>3.1084933513432818</v>
      </c>
      <c r="P539" s="182">
        <f t="shared" si="1618"/>
        <v>3.3695327473848078</v>
      </c>
      <c r="Q539" s="182">
        <f t="shared" si="1618"/>
        <v>3.4376606321711769</v>
      </c>
      <c r="R539" s="182">
        <f t="shared" si="1618"/>
        <v>2.7576199456022792</v>
      </c>
      <c r="S539" s="182">
        <f t="shared" si="1618"/>
        <v>2.1104657556100164</v>
      </c>
      <c r="T539" s="182">
        <f>+T360/T181</f>
        <v>2.4725936032213358</v>
      </c>
      <c r="U539" s="182">
        <f t="shared" ref="U539:V539" si="1623">+U360/U181</f>
        <v>3.0243587503800731</v>
      </c>
      <c r="V539" s="182">
        <f t="shared" si="1623"/>
        <v>3.3947342765547353</v>
      </c>
      <c r="W539" s="183">
        <f>+W360/W181</f>
        <v>3.5074202543131032</v>
      </c>
      <c r="X539" s="183">
        <f>+X360/X181</f>
        <v>3.4910411636044345</v>
      </c>
      <c r="Y539" s="149">
        <f>+X539/W539-1</f>
        <v>-4.6698398027801291E-3</v>
      </c>
      <c r="Z539" s="156">
        <f>+POWER(X539/S539,0.2)-1</f>
        <v>0.10589866042921203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624">+D539/C539-1</f>
        <v>-0.16323825133210668</v>
      </c>
      <c r="E540" s="151">
        <f t="shared" si="1624"/>
        <v>-0.13091128230113158</v>
      </c>
      <c r="F540" s="151">
        <f t="shared" si="1624"/>
        <v>-0.23561762968501554</v>
      </c>
      <c r="G540" s="200">
        <f t="shared" si="1624"/>
        <v>0.43301876795790051</v>
      </c>
      <c r="H540" s="200">
        <f t="shared" si="1624"/>
        <v>0.1156325895048318</v>
      </c>
      <c r="I540" s="200">
        <f t="shared" si="1624"/>
        <v>0.10493928627994875</v>
      </c>
      <c r="J540" s="201">
        <f t="shared" si="1624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625">+Q539/P539-1</f>
        <v>2.0218792899177274E-2</v>
      </c>
      <c r="R540" s="142">
        <f t="shared" si="1625"/>
        <v>-0.19782077387301433</v>
      </c>
      <c r="S540" s="142">
        <f t="shared" si="1625"/>
        <v>-0.23467852813594325</v>
      </c>
      <c r="T540" s="142">
        <f t="shared" si="1625"/>
        <v>0.17158669675104421</v>
      </c>
      <c r="U540" s="142">
        <f t="shared" si="1625"/>
        <v>0.22315237993008163</v>
      </c>
      <c r="V540" s="142">
        <f t="shared" si="1625"/>
        <v>0.12246415083135131</v>
      </c>
      <c r="W540" s="143">
        <f t="shared" si="1625"/>
        <v>3.3194344116008745E-2</v>
      </c>
      <c r="X540" s="143">
        <f t="shared" si="1625"/>
        <v>-4.6698398027801291E-3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workbookViewId="0">
      <selection activeCell="X67" sqref="X67:Z67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207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208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209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/>
      <c r="L13" s="7"/>
      <c r="N13" s="42" t="s">
        <v>4</v>
      </c>
      <c r="O13" s="6">
        <f>+'Despacho por tipo'!O13+'Exportación por tipo'!O13</f>
        <v>248.07051100000001</v>
      </c>
      <c r="P13" s="6">
        <f t="shared" ref="P13:X13" si="11">+SUM(C7:C13)+SUM(B14:B18)</f>
        <v>228.80271099999999</v>
      </c>
      <c r="Q13" s="6">
        <f t="shared" si="11"/>
        <v>220.20339999999999</v>
      </c>
      <c r="R13" s="6">
        <f t="shared" si="11"/>
        <v>306.64980000000003</v>
      </c>
      <c r="S13" s="6">
        <f t="shared" si="11"/>
        <v>383.93110000000001</v>
      </c>
      <c r="T13" s="6">
        <f t="shared" si="11"/>
        <v>347.1277</v>
      </c>
      <c r="U13" s="6">
        <f t="shared" si="11"/>
        <v>305.80089999999996</v>
      </c>
      <c r="V13" s="6">
        <f t="shared" si="11"/>
        <v>258.98840000000001</v>
      </c>
      <c r="W13" s="67">
        <f t="shared" si="11"/>
        <v>250.68629999999999</v>
      </c>
      <c r="X13" s="37"/>
      <c r="Y13" s="78"/>
      <c r="Z13" s="7"/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/>
      <c r="L14" s="7"/>
      <c r="N14" s="42" t="s">
        <v>5</v>
      </c>
      <c r="O14" s="6">
        <f>+'Despacho por tipo'!O14+'Exportación por tipo'!O14</f>
        <v>254.76264800000001</v>
      </c>
      <c r="P14" s="6">
        <f t="shared" ref="P14:W14" si="12">+SUM(C7:C14)+SUM(B15:B18)</f>
        <v>222.57198</v>
      </c>
      <c r="Q14" s="6">
        <f t="shared" si="12"/>
        <v>232.14499999999998</v>
      </c>
      <c r="R14" s="6">
        <f t="shared" si="12"/>
        <v>300.84460000000001</v>
      </c>
      <c r="S14" s="6">
        <f t="shared" si="12"/>
        <v>387.5059</v>
      </c>
      <c r="T14" s="6">
        <f t="shared" si="12"/>
        <v>344.6019</v>
      </c>
      <c r="U14" s="6">
        <f t="shared" si="12"/>
        <v>305.75639999999999</v>
      </c>
      <c r="V14" s="6">
        <f t="shared" si="12"/>
        <v>253.39280000000002</v>
      </c>
      <c r="W14" s="67">
        <f t="shared" si="12"/>
        <v>250.48790000000002</v>
      </c>
      <c r="X14" s="37"/>
      <c r="Y14" s="78"/>
      <c r="Z14" s="7"/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/>
      <c r="L15" s="7"/>
      <c r="N15" s="42" t="s">
        <v>6</v>
      </c>
      <c r="O15" s="6">
        <f>+'Despacho por tipo'!O15+'Exportación por tipo'!O15</f>
        <v>256.96252599999997</v>
      </c>
      <c r="P15" s="6">
        <f t="shared" ref="P15:W15" si="13">+SUM(C7:C15)+SUM(B16:B18)</f>
        <v>216.57271300000002</v>
      </c>
      <c r="Q15" s="6">
        <f t="shared" si="13"/>
        <v>248.49280000000002</v>
      </c>
      <c r="R15" s="6">
        <f t="shared" si="13"/>
        <v>294.15319999999997</v>
      </c>
      <c r="S15" s="6">
        <f t="shared" si="13"/>
        <v>392.42160000000001</v>
      </c>
      <c r="T15" s="6">
        <f t="shared" si="13"/>
        <v>335.2011</v>
      </c>
      <c r="U15" s="6">
        <f t="shared" si="13"/>
        <v>309.23149999999998</v>
      </c>
      <c r="V15" s="6">
        <f t="shared" si="13"/>
        <v>249.428</v>
      </c>
      <c r="W15" s="67">
        <f t="shared" si="13"/>
        <v>250.73079999999999</v>
      </c>
      <c r="X15" s="37"/>
      <c r="Y15" s="78"/>
      <c r="Z15" s="7"/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/>
      <c r="L16" s="7"/>
      <c r="N16" s="42" t="s">
        <v>7</v>
      </c>
      <c r="O16" s="6">
        <f>+'Despacho por tipo'!O16+'Exportación por tipo'!O16</f>
        <v>254.56652800000001</v>
      </c>
      <c r="P16" s="6">
        <f t="shared" ref="P16:W16" si="14">+SUM(C7:C16)+SUM(B17:B18)</f>
        <v>216.51031300000002</v>
      </c>
      <c r="Q16" s="6">
        <f t="shared" si="14"/>
        <v>258.38189999999997</v>
      </c>
      <c r="R16" s="6">
        <f t="shared" si="14"/>
        <v>293.4692</v>
      </c>
      <c r="S16" s="6">
        <f t="shared" si="14"/>
        <v>391.18510000000003</v>
      </c>
      <c r="T16" s="6">
        <f t="shared" si="14"/>
        <v>327.74880000000007</v>
      </c>
      <c r="U16" s="6">
        <f t="shared" si="14"/>
        <v>310.88119999999998</v>
      </c>
      <c r="V16" s="6">
        <f t="shared" si="14"/>
        <v>247.834</v>
      </c>
      <c r="W16" s="67">
        <f t="shared" si="14"/>
        <v>247.6891</v>
      </c>
      <c r="X16" s="37"/>
      <c r="Y16" s="78"/>
      <c r="Z16" s="7"/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15">+SUM(C7:C17)+SUM(B18)</f>
        <v>217.13491300000001</v>
      </c>
      <c r="Q17" s="6">
        <f t="shared" si="15"/>
        <v>260.02699999999999</v>
      </c>
      <c r="R17" s="6">
        <f t="shared" si="15"/>
        <v>300.05849999999998</v>
      </c>
      <c r="S17" s="6">
        <f t="shared" si="15"/>
        <v>395.74090000000001</v>
      </c>
      <c r="T17" s="6">
        <f t="shared" si="15"/>
        <v>321.90080000000006</v>
      </c>
      <c r="U17" s="6">
        <f t="shared" si="15"/>
        <v>308.47529999999995</v>
      </c>
      <c r="V17" s="6">
        <f t="shared" si="15"/>
        <v>244.93259999999998</v>
      </c>
      <c r="W17" s="67">
        <f t="shared" si="15"/>
        <v>247.03129999999999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16">+SUM(C7:C18)</f>
        <v>216.28321300000002</v>
      </c>
      <c r="Q18" s="6">
        <f t="shared" si="16"/>
        <v>266.29430000000002</v>
      </c>
      <c r="R18" s="6">
        <f t="shared" si="16"/>
        <v>314.29649999999998</v>
      </c>
      <c r="S18" s="6">
        <f t="shared" si="16"/>
        <v>386.33510000000001</v>
      </c>
      <c r="T18" s="6">
        <f t="shared" si="16"/>
        <v>320.22170000000006</v>
      </c>
      <c r="U18" s="6">
        <f t="shared" si="16"/>
        <v>301.63689999999997</v>
      </c>
      <c r="V18" s="6">
        <f t="shared" si="16"/>
        <v>245.02979999999999</v>
      </c>
      <c r="W18" s="67">
        <f t="shared" si="16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17">SUM(C7:C18)</f>
        <v>216.28321300000002</v>
      </c>
      <c r="D19" s="54">
        <f t="shared" si="17"/>
        <v>266.29430000000002</v>
      </c>
      <c r="E19" s="54">
        <f t="shared" si="17"/>
        <v>314.29649999999998</v>
      </c>
      <c r="F19" s="54">
        <f t="shared" si="17"/>
        <v>386.33510000000001</v>
      </c>
      <c r="G19" s="54">
        <f t="shared" ref="G19" si="18">SUM(G7:G18)</f>
        <v>320.22170000000006</v>
      </c>
      <c r="H19" s="54">
        <f t="shared" ref="H19" si="19">SUM(H7:H18)</f>
        <v>301.63689999999997</v>
      </c>
      <c r="I19" s="54">
        <f t="shared" ref="I19:J19" si="20">SUM(I7:I18)</f>
        <v>245.02979999999999</v>
      </c>
      <c r="J19" s="186">
        <f t="shared" si="20"/>
        <v>246.32039999999998</v>
      </c>
      <c r="K19" s="55"/>
      <c r="L19" s="56"/>
      <c r="M19" s="3"/>
      <c r="N19" s="43" t="s">
        <v>14</v>
      </c>
      <c r="O19" s="46">
        <f t="shared" ref="O19" si="21">+AVERAGE(O7:O18)</f>
        <v>253.72953974999996</v>
      </c>
      <c r="P19" s="46">
        <f>+AVERAGE(P7:P18)</f>
        <v>227.24211208333335</v>
      </c>
      <c r="Q19" s="46">
        <f t="shared" ref="Q19:T19" si="22">+AVERAGE(Q7:Q18)</f>
        <v>233.15245000000002</v>
      </c>
      <c r="R19" s="46">
        <f t="shared" si="22"/>
        <v>294.56778333333335</v>
      </c>
      <c r="S19" s="46">
        <f t="shared" si="22"/>
        <v>373.20385833333336</v>
      </c>
      <c r="T19" s="46">
        <f t="shared" si="22"/>
        <v>345.46057500000006</v>
      </c>
      <c r="U19" s="46">
        <f t="shared" ref="U19:V19" si="23">+AVERAGE(U7:U18)</f>
        <v>309.5512333333333</v>
      </c>
      <c r="V19" s="46">
        <f t="shared" si="23"/>
        <v>266.61407499999996</v>
      </c>
      <c r="W19" s="68">
        <f t="shared" ref="W19:X19" si="24">+AVERAGE(W7:W18)</f>
        <v>246.43216666666669</v>
      </c>
      <c r="X19" s="47">
        <f t="shared" si="24"/>
        <v>252.41291666666666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25">+B19/B$73</f>
        <v>0.20362580154015381</v>
      </c>
      <c r="C20" s="58">
        <f t="shared" si="25"/>
        <v>0.19384303249600926</v>
      </c>
      <c r="D20" s="58">
        <f t="shared" si="25"/>
        <v>0.23883768672094133</v>
      </c>
      <c r="E20" s="58">
        <f t="shared" si="25"/>
        <v>0.26240985770347658</v>
      </c>
      <c r="F20" s="58">
        <f t="shared" si="25"/>
        <v>0.28877999183895026</v>
      </c>
      <c r="G20" s="58">
        <f t="shared" si="25"/>
        <v>0.27267038445110969</v>
      </c>
      <c r="H20" s="58">
        <f t="shared" ref="H20" si="26">+H19/H$73</f>
        <v>0.27600288376749821</v>
      </c>
      <c r="I20" s="58">
        <f t="shared" ref="I20:J20" si="27">+I19/I$73</f>
        <v>0.25054135914324865</v>
      </c>
      <c r="J20" s="189">
        <f t="shared" si="27"/>
        <v>0.25318688165285747</v>
      </c>
      <c r="K20" s="188"/>
      <c r="L20" s="59"/>
      <c r="M20" s="3"/>
      <c r="N20" s="44" t="s">
        <v>15</v>
      </c>
      <c r="O20" s="48">
        <f t="shared" ref="O20:T20" si="28">+O19/O$73</f>
        <v>0.20448274983124032</v>
      </c>
      <c r="P20" s="48">
        <f t="shared" si="28"/>
        <v>0.19721160662845871</v>
      </c>
      <c r="Q20" s="48">
        <f t="shared" si="28"/>
        <v>0.21050471281302116</v>
      </c>
      <c r="R20" s="48">
        <f t="shared" si="28"/>
        <v>0.2551502302446364</v>
      </c>
      <c r="S20" s="48">
        <f t="shared" si="28"/>
        <v>0.2876536623535485</v>
      </c>
      <c r="T20" s="48">
        <f t="shared" si="28"/>
        <v>0.27930468212537368</v>
      </c>
      <c r="U20" s="48">
        <f t="shared" ref="U20:V20" si="29">+U19/U$73</f>
        <v>0.270816316856482</v>
      </c>
      <c r="V20" s="48">
        <f t="shared" si="29"/>
        <v>0.26233464491544695</v>
      </c>
      <c r="W20" s="69">
        <f t="shared" ref="W20:X20" si="30">+W19/W$73</f>
        <v>0.25410305800844019</v>
      </c>
      <c r="X20" s="72">
        <f t="shared" si="30"/>
        <v>0.2581941357949149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31">+D19/C19-1</f>
        <v>0.23122962853339901</v>
      </c>
      <c r="E21" s="62">
        <f t="shared" si="31"/>
        <v>0.18025996050234627</v>
      </c>
      <c r="F21" s="62">
        <f t="shared" si="31"/>
        <v>0.22920586134430398</v>
      </c>
      <c r="G21" s="62">
        <f t="shared" si="31"/>
        <v>-0.17112967473056406</v>
      </c>
      <c r="H21" s="62">
        <f t="shared" si="31"/>
        <v>-5.8037291039302108E-2</v>
      </c>
      <c r="I21" s="62">
        <f t="shared" si="31"/>
        <v>-0.18766636310080098</v>
      </c>
      <c r="J21" s="190">
        <f t="shared" si="31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32">+Q19/P19-1</f>
        <v>2.6008990422071276E-2</v>
      </c>
      <c r="R21" s="50">
        <f t="shared" si="32"/>
        <v>0.26341277277306463</v>
      </c>
      <c r="S21" s="50">
        <f t="shared" si="32"/>
        <v>0.26695409155119765</v>
      </c>
      <c r="T21" s="50">
        <f t="shared" si="32"/>
        <v>-7.4338147138216071E-2</v>
      </c>
      <c r="U21" s="50">
        <f t="shared" si="32"/>
        <v>-0.10394628002534512</v>
      </c>
      <c r="V21" s="50">
        <f t="shared" si="32"/>
        <v>-0.1387077604924204</v>
      </c>
      <c r="W21" s="70">
        <f t="shared" si="32"/>
        <v>-7.5697085134508679E-2</v>
      </c>
      <c r="X21" s="73">
        <f t="shared" si="32"/>
        <v>2.4269356070264037E-2</v>
      </c>
      <c r="Y21" s="51"/>
      <c r="Z21" s="52"/>
    </row>
    <row r="22" spans="1:26" ht="13.5" thickBot="1" x14ac:dyDescent="0.3"/>
    <row r="23" spans="1:26" ht="13.5" thickBot="1" x14ac:dyDescent="0.3">
      <c r="A23" s="351" t="s">
        <v>210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211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33">+C24+1</f>
        <v>2018</v>
      </c>
      <c r="E24" s="39">
        <f t="shared" si="33"/>
        <v>2019</v>
      </c>
      <c r="F24" s="39">
        <f t="shared" si="33"/>
        <v>2020</v>
      </c>
      <c r="G24" s="39">
        <f t="shared" si="33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34">+P24+1</f>
        <v>2018</v>
      </c>
      <c r="R24" s="64">
        <f t="shared" si="34"/>
        <v>2019</v>
      </c>
      <c r="S24" s="64">
        <f t="shared" si="34"/>
        <v>2020</v>
      </c>
      <c r="T24" s="64">
        <f t="shared" ref="T24" si="35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36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37">+SUM(D25)+SUM(C26:C36)</f>
        <v>849.6613000000001</v>
      </c>
      <c r="R25" s="6">
        <f t="shared" ref="R25:X25" si="38">+SUM(E25)+SUM(D26:D36)</f>
        <v>810.61650000000009</v>
      </c>
      <c r="S25" s="6">
        <f t="shared" si="38"/>
        <v>859.15809999999999</v>
      </c>
      <c r="T25" s="6">
        <f t="shared" si="38"/>
        <v>908.15579999999989</v>
      </c>
      <c r="U25" s="6">
        <f t="shared" si="38"/>
        <v>800.57399999999984</v>
      </c>
      <c r="V25" s="6">
        <f t="shared" si="38"/>
        <v>738.7002</v>
      </c>
      <c r="W25" s="67">
        <f t="shared" si="38"/>
        <v>684.07990000000018</v>
      </c>
      <c r="X25" s="37">
        <f t="shared" si="38"/>
        <v>691.47809999999993</v>
      </c>
      <c r="Y25" s="78">
        <f t="shared" ref="Y25:Y26" si="39">+X25/W25-1</f>
        <v>1.0814818561398765E-2</v>
      </c>
      <c r="Z25" s="7">
        <f t="shared" ref="Z25:Z26" si="40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36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41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42">+SUM(I25:I26)+SUM(H27:H36)</f>
        <v>730.26429999999993</v>
      </c>
      <c r="W26" s="67">
        <f t="shared" ref="W26:X26" si="43">+SUM(J25:J26)+SUM(I27:I36)</f>
        <v>685.13520000000005</v>
      </c>
      <c r="X26" s="37">
        <f t="shared" si="43"/>
        <v>694.50969999999995</v>
      </c>
      <c r="Y26" s="78">
        <f t="shared" si="39"/>
        <v>1.3682700874221521E-2</v>
      </c>
      <c r="Z26" s="7">
        <f t="shared" si="40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36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44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45">+SUM(I25:I27)+SUM(H28:H36)</f>
        <v>716.51830000000007</v>
      </c>
      <c r="W27" s="67">
        <f t="shared" ref="W27" si="46">+SUM(J25:J27)+SUM(I28:I36)</f>
        <v>681.077</v>
      </c>
      <c r="X27" s="37">
        <f t="shared" ref="X27" si="47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36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48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49">+SUM(I25:I28)+SUM(H29:H36)</f>
        <v>710.0277000000001</v>
      </c>
      <c r="W28" s="67">
        <f t="shared" ref="W28" si="50">+SUM(J25:J28)+SUM(I29:I36)</f>
        <v>677.49340000000007</v>
      </c>
      <c r="X28" s="37">
        <f t="shared" ref="X28" si="51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36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52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53">+SUM(I25:I29)+SUM(H30:H36)</f>
        <v>705.61480000000006</v>
      </c>
      <c r="W29" s="67">
        <f t="shared" ref="W29" si="54">+SUM(J25:J29)+SUM(I30:I36)</f>
        <v>676.7962</v>
      </c>
      <c r="X29" s="37">
        <f t="shared" ref="X29" si="55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36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56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57">+SUM(I25:I30)+SUM(H31:H36)</f>
        <v>699.48170000000005</v>
      </c>
      <c r="W30" s="67">
        <f t="shared" ref="W30" si="58">+SUM(J25:J30)+SUM(I31:I36)</f>
        <v>672.18979999999999</v>
      </c>
      <c r="X30" s="37">
        <f t="shared" ref="X30" si="59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/>
      <c r="L31" s="7"/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60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61">+SUM(I25:I31)+SUM(H32:H36)</f>
        <v>695.76640000000009</v>
      </c>
      <c r="W31" s="67">
        <f t="shared" ref="W31" si="62">+SUM(J25:J31)+SUM(I32:I36)</f>
        <v>681.64980000000003</v>
      </c>
      <c r="X31" s="37"/>
      <c r="Y31" s="78"/>
      <c r="Z31" s="7"/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/>
      <c r="L32" s="7"/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63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64">+SUM(I25:I32)+SUM(H33:H36)</f>
        <v>689.22940000000017</v>
      </c>
      <c r="W32" s="67">
        <f t="shared" ref="W32" si="65">+SUM(J25:J32)+SUM(I33:I36)</f>
        <v>689.56020000000001</v>
      </c>
      <c r="X32" s="37"/>
      <c r="Y32" s="78"/>
      <c r="Z32" s="7"/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/>
      <c r="L33" s="7"/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66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67">+SUM(I25:I33)+SUM(H34:H36)</f>
        <v>682.81270000000006</v>
      </c>
      <c r="W33" s="67">
        <f t="shared" ref="W33" si="68">+SUM(J25:J33)+SUM(I34:I36)</f>
        <v>687.77100000000007</v>
      </c>
      <c r="X33" s="37"/>
      <c r="Y33" s="78"/>
      <c r="Z33" s="7"/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/>
      <c r="L34" s="7"/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69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70">+SUM(I25:I34)+SUM(H35:H36)</f>
        <v>683.08630000000005</v>
      </c>
      <c r="W34" s="67">
        <f t="shared" ref="W34" si="71">+SUM(J25:J34)+SUM(I35:I36)</f>
        <v>686.04340000000002</v>
      </c>
      <c r="X34" s="37"/>
      <c r="Y34" s="78"/>
      <c r="Z34" s="7"/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72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73">+SUM(I25:I35)+SUM(H36)</f>
        <v>685.77230000000009</v>
      </c>
      <c r="W35" s="67">
        <f t="shared" ref="W35" si="74">+SUM(J25:J35)+SUM(I36)</f>
        <v>690.56370000000004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75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76">+SUM(I25:I36)</f>
        <v>688.03650000000016</v>
      </c>
      <c r="W36" s="67">
        <f t="shared" ref="W36" si="77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78">SUM(G25:G36)</f>
        <v>810.64199999999983</v>
      </c>
      <c r="H37" s="54">
        <f t="shared" si="78"/>
        <v>740.46529999999996</v>
      </c>
      <c r="I37" s="54">
        <f t="shared" ref="I37:J37" si="79">SUM(I25:I36)</f>
        <v>688.03650000000016</v>
      </c>
      <c r="J37" s="186">
        <f t="shared" si="79"/>
        <v>690.72739999999999</v>
      </c>
      <c r="K37" s="55"/>
      <c r="L37" s="56"/>
      <c r="M37" s="3"/>
      <c r="N37" s="43" t="s">
        <v>14</v>
      </c>
      <c r="O37" s="46">
        <f t="shared" ref="O37:V37" si="80">+AVERAGE(O25:O36)</f>
        <v>933.51717625000003</v>
      </c>
      <c r="P37" s="46">
        <f t="shared" si="80"/>
        <v>875.24193883333328</v>
      </c>
      <c r="Q37" s="46">
        <f t="shared" si="80"/>
        <v>830.83800000000019</v>
      </c>
      <c r="R37" s="46">
        <f t="shared" si="80"/>
        <v>823.92825833333325</v>
      </c>
      <c r="S37" s="46">
        <f t="shared" si="80"/>
        <v>889.07348333333346</v>
      </c>
      <c r="T37" s="46">
        <f t="shared" si="80"/>
        <v>853.16564999999991</v>
      </c>
      <c r="U37" s="46">
        <f t="shared" si="80"/>
        <v>785.60614166666653</v>
      </c>
      <c r="V37" s="46">
        <f t="shared" si="80"/>
        <v>702.10921666666684</v>
      </c>
      <c r="W37" s="68">
        <f t="shared" ref="W37:X37" si="81">+AVERAGE(W25:W36)</f>
        <v>683.59058333333348</v>
      </c>
      <c r="X37" s="47">
        <f t="shared" si="81"/>
        <v>688.83648333333338</v>
      </c>
      <c r="Y37" s="79">
        <f t="shared" ref="Y37" si="82">+X37/W37-1</f>
        <v>7.6740378347808225E-3</v>
      </c>
      <c r="Z37" s="75">
        <f t="shared" ref="Z37" si="83">+POWER(X37/S37,0.2)-1</f>
        <v>-4.9754773422364007E-2</v>
      </c>
    </row>
    <row r="38" spans="1:26" ht="25.5" x14ac:dyDescent="0.25">
      <c r="A38" s="57" t="s">
        <v>15</v>
      </c>
      <c r="B38" s="58">
        <f t="shared" ref="B38:H38" si="84">+B37/B$73</f>
        <v>0.75328292479786219</v>
      </c>
      <c r="C38" s="58">
        <f t="shared" si="84"/>
        <v>0.76418271701909901</v>
      </c>
      <c r="D38" s="58">
        <f t="shared" si="84"/>
        <v>0.72577689607145324</v>
      </c>
      <c r="E38" s="58">
        <f t="shared" si="84"/>
        <v>0.70783129738698503</v>
      </c>
      <c r="F38" s="58">
        <f t="shared" si="84"/>
        <v>0.68625458124688243</v>
      </c>
      <c r="G38" s="58">
        <f t="shared" si="84"/>
        <v>0.690265730874005</v>
      </c>
      <c r="H38" s="58">
        <f t="shared" si="84"/>
        <v>0.67753831885212212</v>
      </c>
      <c r="I38" s="58">
        <f t="shared" ref="I38:J38" si="85">+I37/I$73</f>
        <v>0.70351279660744881</v>
      </c>
      <c r="J38" s="189">
        <f t="shared" si="85"/>
        <v>0.70998226893990901</v>
      </c>
      <c r="K38" s="188"/>
      <c r="L38" s="59"/>
      <c r="M38" s="3"/>
      <c r="N38" s="44" t="s">
        <v>15</v>
      </c>
      <c r="O38" s="48">
        <f t="shared" ref="O38:V38" si="86">+O37/O$73</f>
        <v>0.75232926919891541</v>
      </c>
      <c r="P38" s="48">
        <f t="shared" si="86"/>
        <v>0.7595769435668277</v>
      </c>
      <c r="Q38" s="48">
        <f t="shared" si="86"/>
        <v>0.75013286192851458</v>
      </c>
      <c r="R38" s="48">
        <f t="shared" si="86"/>
        <v>0.71367439588911441</v>
      </c>
      <c r="S38" s="48">
        <f t="shared" si="86"/>
        <v>0.68526955944232681</v>
      </c>
      <c r="T38" s="48">
        <f t="shared" si="86"/>
        <v>0.68978395197060549</v>
      </c>
      <c r="U38" s="48">
        <f t="shared" si="86"/>
        <v>0.68730128933745138</v>
      </c>
      <c r="V38" s="48">
        <f t="shared" si="86"/>
        <v>0.69083964170350975</v>
      </c>
      <c r="W38" s="69">
        <f t="shared" ref="W38:X38" si="87">+W37/W$73</f>
        <v>0.70486925469323936</v>
      </c>
      <c r="X38" s="72">
        <f t="shared" si="87"/>
        <v>0.70461346775343303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88">+D37/C37-1</f>
        <v>-5.0942938827870154E-2</v>
      </c>
      <c r="E39" s="62">
        <f t="shared" si="88"/>
        <v>4.7676028411353766E-2</v>
      </c>
      <c r="F39" s="62">
        <f t="shared" si="88"/>
        <v>8.2911993594652955E-2</v>
      </c>
      <c r="G39" s="62">
        <f t="shared" si="88"/>
        <v>-0.11702831484446208</v>
      </c>
      <c r="H39" s="62">
        <f t="shared" si="88"/>
        <v>-8.6569287058898881E-2</v>
      </c>
      <c r="I39" s="62">
        <f t="shared" si="88"/>
        <v>-7.0805208562777722E-2</v>
      </c>
      <c r="J39" s="190">
        <f t="shared" si="88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89">+Q37/P37-1</f>
        <v>-5.0733330823385825E-2</v>
      </c>
      <c r="R39" s="50">
        <f t="shared" si="89"/>
        <v>-8.3165932066984194E-3</v>
      </c>
      <c r="S39" s="50">
        <f t="shared" si="89"/>
        <v>7.906662302343892E-2</v>
      </c>
      <c r="T39" s="50">
        <f t="shared" ref="T39" si="90">+T37/S37-1</f>
        <v>-4.0387925190060958E-2</v>
      </c>
      <c r="U39" s="50">
        <f t="shared" ref="U39" si="91">+U37/T37-1</f>
        <v>-7.9186859355312E-2</v>
      </c>
      <c r="V39" s="50">
        <f t="shared" ref="V39:X39" si="92">+V37/U37-1</f>
        <v>-0.10628344226390674</v>
      </c>
      <c r="W39" s="70">
        <f t="shared" si="92"/>
        <v>-2.637571604778588E-2</v>
      </c>
      <c r="X39" s="73">
        <f t="shared" si="92"/>
        <v>7.6740378347808225E-3</v>
      </c>
      <c r="Y39" s="51"/>
      <c r="Z39" s="52"/>
    </row>
    <row r="40" spans="1:26" ht="13.5" thickBot="1" x14ac:dyDescent="0.3"/>
    <row r="41" spans="1:26" ht="13.5" thickBot="1" x14ac:dyDescent="0.3">
      <c r="A41" s="351" t="s">
        <v>212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213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93">+C42+1</f>
        <v>2018</v>
      </c>
      <c r="E42" s="39">
        <f t="shared" si="93"/>
        <v>2019</v>
      </c>
      <c r="F42" s="39">
        <f t="shared" si="93"/>
        <v>2020</v>
      </c>
      <c r="G42" s="39">
        <f t="shared" si="93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94">+P42+1</f>
        <v>2018</v>
      </c>
      <c r="R42" s="64">
        <f t="shared" si="94"/>
        <v>2019</v>
      </c>
      <c r="S42" s="64">
        <f t="shared" si="94"/>
        <v>2020</v>
      </c>
      <c r="T42" s="64">
        <f t="shared" ref="T42" si="95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96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97">+SUM(D43)+SUM(C44:C54)</f>
        <v>42.033699999999996</v>
      </c>
      <c r="R43" s="6">
        <f t="shared" ref="R43:X43" si="98">+SUM(E43)+SUM(D44:D54)</f>
        <v>35.220099999999995</v>
      </c>
      <c r="S43" s="6">
        <f t="shared" si="98"/>
        <v>32.7562</v>
      </c>
      <c r="T43" s="6">
        <f t="shared" si="98"/>
        <v>28.505299999999998</v>
      </c>
      <c r="U43" s="6">
        <f t="shared" si="98"/>
        <v>38.613900000000001</v>
      </c>
      <c r="V43" s="6">
        <f t="shared" si="98"/>
        <v>46.067999999999998</v>
      </c>
      <c r="W43" s="67">
        <f t="shared" si="98"/>
        <v>41.123899999999999</v>
      </c>
      <c r="X43" s="37">
        <f t="shared" si="98"/>
        <v>32.704099999999997</v>
      </c>
      <c r="Y43" s="78">
        <f t="shared" ref="Y43:Y49" si="99">+X43/W43-1</f>
        <v>-0.20474225450407191</v>
      </c>
      <c r="Z43" s="7">
        <f t="shared" ref="Z43:Z49" si="100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96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01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02">+SUM(I43:I44)+SUM(H45:H54)</f>
        <v>45.529899999999998</v>
      </c>
      <c r="W44" s="67">
        <f t="shared" ref="W44:X44" si="103">+SUM(J43:J44)+SUM(I45:I54)</f>
        <v>40.5199</v>
      </c>
      <c r="X44" s="37">
        <f t="shared" si="103"/>
        <v>33.133700000000005</v>
      </c>
      <c r="Y44" s="78">
        <f t="shared" si="99"/>
        <v>-0.18228574108030859</v>
      </c>
      <c r="Z44" s="7">
        <f t="shared" si="100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96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04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05">+SUM(I43:I45)+SUM(H46:H54)</f>
        <v>44.891400000000004</v>
      </c>
      <c r="W45" s="67">
        <f t="shared" ref="W45" si="106">+SUM(J43:J45)+SUM(I46:I54)</f>
        <v>40.006900000000002</v>
      </c>
      <c r="X45" s="37">
        <f t="shared" ref="X45" si="107">+SUM(K43:K45)+SUM(J46:J54)</f>
        <v>32.695099999999996</v>
      </c>
      <c r="Y45" s="78">
        <f t="shared" si="99"/>
        <v>-0.18276347330085574</v>
      </c>
      <c r="Z45" s="7">
        <f t="shared" si="100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96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08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09">+SUM(I43:I46)+SUM(H47:H54)</f>
        <v>44.078899999999997</v>
      </c>
      <c r="W46" s="67">
        <f t="shared" ref="W46" si="110">+SUM(J43:J46)+SUM(I47:I54)</f>
        <v>39.402000000000001</v>
      </c>
      <c r="X46" s="37">
        <f t="shared" ref="X46" si="111">+SUM(K43:K46)+SUM(J47:J54)</f>
        <v>33.331499999999998</v>
      </c>
      <c r="Y46" s="78">
        <f t="shared" si="99"/>
        <v>-0.15406578346276845</v>
      </c>
      <c r="Z46" s="7">
        <f t="shared" si="100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96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12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13">+SUM(I43:I47)+SUM(H48:H54)</f>
        <v>43.835499999999996</v>
      </c>
      <c r="W47" s="67">
        <f t="shared" ref="W47" si="114">+SUM(J43:J47)+SUM(I48:I54)</f>
        <v>38.211299999999994</v>
      </c>
      <c r="X47" s="37">
        <f t="shared" ref="X47" si="115">+SUM(K43:K47)+SUM(J48:J54)</f>
        <v>32.846199999999996</v>
      </c>
      <c r="Y47" s="78">
        <f t="shared" si="99"/>
        <v>-0.14040611023440708</v>
      </c>
      <c r="Z47" s="7">
        <f t="shared" si="100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96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16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17">+SUM(I43:I48)+SUM(H49:H54)</f>
        <v>43.542499999999997</v>
      </c>
      <c r="W48" s="67">
        <f t="shared" ref="W48" si="118">+SUM(J43:J48)+SUM(I49:I54)</f>
        <v>36.5077</v>
      </c>
      <c r="X48" s="37">
        <f t="shared" ref="X48" si="119">+SUM(K43:K48)+SUM(J49:J54)</f>
        <v>32.922699999999999</v>
      </c>
      <c r="Y48" s="78">
        <f t="shared" si="99"/>
        <v>-9.8198462242211959E-2</v>
      </c>
      <c r="Z48" s="7">
        <f t="shared" si="100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/>
      <c r="L49" s="7"/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20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21">+SUM(I43:I49)+SUM(H50:H54)</f>
        <v>43.2639</v>
      </c>
      <c r="W49" s="67">
        <f t="shared" ref="W49" si="122">+SUM(J43:J49)+SUM(I50:I54)</f>
        <v>35.634099999999997</v>
      </c>
      <c r="X49" s="37"/>
      <c r="Y49" s="78"/>
      <c r="Z49" s="7"/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/>
      <c r="L50" s="7"/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23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24">+SUM(I43:I50)+SUM(H51:H54)</f>
        <v>42.538799999999995</v>
      </c>
      <c r="W50" s="67">
        <f t="shared" ref="W50" si="125">+SUM(J43:J50)+SUM(I51:I54)</f>
        <v>34.155000000000001</v>
      </c>
      <c r="X50" s="37"/>
      <c r="Y50" s="78"/>
      <c r="Z50" s="7"/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/>
      <c r="L51" s="7"/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26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27">+SUM(I43:I51)+SUM(H52:H54)</f>
        <v>41.309699999999999</v>
      </c>
      <c r="W51" s="67">
        <f t="shared" ref="W51" si="128">+SUM(J43:J51)+SUM(I52:I54)</f>
        <v>33.820799999999998</v>
      </c>
      <c r="X51" s="37"/>
      <c r="Y51" s="78"/>
      <c r="Z51" s="7"/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/>
      <c r="L52" s="7"/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29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30">+SUM(I43:I52)+SUM(H53:H54)</f>
        <v>41.563199999999995</v>
      </c>
      <c r="W52" s="67">
        <f t="shared" ref="W52" si="131">+SUM(J43:J52)+SUM(I53:I54)</f>
        <v>33.056100000000001</v>
      </c>
      <c r="X52" s="37"/>
      <c r="Y52" s="78"/>
      <c r="Z52" s="7"/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32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33">+SUM(I43:I53)+SUM(H54)</f>
        <v>41.834899999999998</v>
      </c>
      <c r="W53" s="67">
        <f t="shared" ref="W53" si="134">+SUM(J43:J53)+SUM(I54)</f>
        <v>32.823999999999998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35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36">+SUM(I43:I54)</f>
        <v>41.593499999999999</v>
      </c>
      <c r="W54" s="67">
        <f t="shared" ref="W54" si="137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38">SUM(C43:C54)</f>
        <v>42.455489999999998</v>
      </c>
      <c r="D55" s="54">
        <f t="shared" si="138"/>
        <v>35.283500000000004</v>
      </c>
      <c r="E55" s="54">
        <f t="shared" si="138"/>
        <v>32.901299999999999</v>
      </c>
      <c r="F55" s="54">
        <f t="shared" si="138"/>
        <v>28.347000000000001</v>
      </c>
      <c r="G55" s="54">
        <f t="shared" si="138"/>
        <v>38.698599999999999</v>
      </c>
      <c r="H55" s="54">
        <f t="shared" si="138"/>
        <v>45.703299999999999</v>
      </c>
      <c r="I55" s="54">
        <f t="shared" ref="I55:J55" si="139">SUM(I43:I54)</f>
        <v>41.593499999999999</v>
      </c>
      <c r="J55" s="186">
        <f t="shared" si="139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40">+AVERAGE(Q43:Q54)</f>
        <v>39.238883333333327</v>
      </c>
      <c r="R55" s="46">
        <f t="shared" si="140"/>
        <v>32.477699999999999</v>
      </c>
      <c r="S55" s="46">
        <f t="shared" si="140"/>
        <v>31.146575000000002</v>
      </c>
      <c r="T55" s="46">
        <f t="shared" si="140"/>
        <v>33.286683333333336</v>
      </c>
      <c r="U55" s="46">
        <f t="shared" si="140"/>
        <v>43.157916666666672</v>
      </c>
      <c r="V55" s="46">
        <f t="shared" si="140"/>
        <v>43.337516666666666</v>
      </c>
      <c r="W55" s="68">
        <f t="shared" ref="W55" si="141">+AVERAGE(W43:W54)</f>
        <v>36.504858333333338</v>
      </c>
      <c r="X55" s="47">
        <f t="shared" ref="X55" si="142">+AVERAGE(X43:X54)</f>
        <v>32.93888333333333</v>
      </c>
      <c r="Y55" s="79">
        <f t="shared" ref="Y55" si="143">+X55/W55-1</f>
        <v>-9.7684942848931477E-2</v>
      </c>
      <c r="Z55" s="75">
        <f t="shared" ref="Z55" si="144">+POWER(X55/S55,0.2)-1</f>
        <v>1.1252748552800229E-2</v>
      </c>
    </row>
    <row r="56" spans="1:26" ht="25.5" x14ac:dyDescent="0.25">
      <c r="A56" s="57" t="s">
        <v>15</v>
      </c>
      <c r="B56" s="58">
        <f t="shared" ref="B56:H56" si="145">+B55/B$73</f>
        <v>4.0215548278411811E-2</v>
      </c>
      <c r="C56" s="58">
        <f t="shared" si="145"/>
        <v>3.8050576434260734E-2</v>
      </c>
      <c r="D56" s="58">
        <f t="shared" si="145"/>
        <v>3.1645549752354195E-2</v>
      </c>
      <c r="E56" s="58">
        <f t="shared" si="145"/>
        <v>2.7469683726224738E-2</v>
      </c>
      <c r="F56" s="58">
        <f t="shared" si="145"/>
        <v>2.1188979279021563E-2</v>
      </c>
      <c r="G56" s="58">
        <f t="shared" si="145"/>
        <v>3.2952052093033396E-2</v>
      </c>
      <c r="H56" s="58">
        <f t="shared" si="145"/>
        <v>4.1819295310656958E-2</v>
      </c>
      <c r="I56" s="58">
        <f t="shared" ref="I56:J56" si="146">+I55/I$73</f>
        <v>4.2529080224220535E-2</v>
      </c>
      <c r="J56" s="189">
        <f t="shared" si="146"/>
        <v>3.3710845235782771E-2</v>
      </c>
      <c r="K56" s="188"/>
      <c r="L56" s="59"/>
      <c r="M56" s="3"/>
      <c r="N56" s="44" t="s">
        <v>15</v>
      </c>
      <c r="O56" s="48">
        <f t="shared" ref="O56:V56" si="147">+O55/O$73</f>
        <v>4.0115736049437044E-2</v>
      </c>
      <c r="P56" s="48">
        <f t="shared" si="147"/>
        <v>3.9929052560259748E-2</v>
      </c>
      <c r="Q56" s="48">
        <f t="shared" si="147"/>
        <v>3.54273346352868E-2</v>
      </c>
      <c r="R56" s="48">
        <f t="shared" si="147"/>
        <v>2.8131700415584798E-2</v>
      </c>
      <c r="S56" s="48">
        <f t="shared" si="147"/>
        <v>2.4006789234523967E-2</v>
      </c>
      <c r="T56" s="48">
        <f t="shared" si="147"/>
        <v>2.691226490150038E-2</v>
      </c>
      <c r="U56" s="48">
        <f t="shared" si="147"/>
        <v>3.7757459109458075E-2</v>
      </c>
      <c r="V56" s="48">
        <f t="shared" si="147"/>
        <v>4.2641904956695419E-2</v>
      </c>
      <c r="W56" s="69">
        <f t="shared" ref="W56" si="148">+W55/W$73</f>
        <v>3.764117428392353E-2</v>
      </c>
      <c r="X56" s="72">
        <f t="shared" ref="X56" si="149">+X55/X$73</f>
        <v>3.36933094732653E-2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50">+D55/C55-1</f>
        <v>-0.16892962488479102</v>
      </c>
      <c r="E57" s="62">
        <f t="shared" si="150"/>
        <v>-6.7515977723298537E-2</v>
      </c>
      <c r="F57" s="62">
        <f t="shared" si="150"/>
        <v>-0.13842310182272421</v>
      </c>
      <c r="G57" s="62">
        <f t="shared" si="150"/>
        <v>0.3651744452675767</v>
      </c>
      <c r="H57" s="62">
        <f t="shared" si="150"/>
        <v>0.18100654804049765</v>
      </c>
      <c r="I57" s="62">
        <f t="shared" si="150"/>
        <v>-8.9923484737425952E-2</v>
      </c>
      <c r="J57" s="190">
        <f t="shared" si="150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51">+Q55/P55-1</f>
        <v>-0.14715268137145809</v>
      </c>
      <c r="R57" s="50">
        <f t="shared" si="151"/>
        <v>-0.17230825036220443</v>
      </c>
      <c r="S57" s="50">
        <f t="shared" si="151"/>
        <v>-4.0985814882211424E-2</v>
      </c>
      <c r="T57" s="50">
        <f t="shared" ref="T57" si="152">+T55/S55-1</f>
        <v>6.8710872169197801E-2</v>
      </c>
      <c r="U57" s="50">
        <f t="shared" ref="U57" si="153">+U55/T55-1</f>
        <v>0.29655202455836949</v>
      </c>
      <c r="V57" s="50">
        <f t="shared" ref="V57:X57" si="154">+V55/U55-1</f>
        <v>4.1614613000702239E-3</v>
      </c>
      <c r="W57" s="70">
        <f t="shared" si="154"/>
        <v>-0.15766151036957576</v>
      </c>
      <c r="X57" s="73">
        <f t="shared" si="154"/>
        <v>-9.7684942848931477E-2</v>
      </c>
      <c r="Y57" s="51"/>
      <c r="Z57" s="52"/>
    </row>
    <row r="58" spans="1:26" ht="13.5" thickBot="1" x14ac:dyDescent="0.3"/>
    <row r="59" spans="1:26" ht="13.5" thickBot="1" x14ac:dyDescent="0.3">
      <c r="A59" s="354" t="s">
        <v>214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215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55">+C60+1</f>
        <v>2018</v>
      </c>
      <c r="E60" s="39">
        <f t="shared" si="155"/>
        <v>2019</v>
      </c>
      <c r="F60" s="39">
        <f t="shared" si="155"/>
        <v>2020</v>
      </c>
      <c r="G60" s="39">
        <f t="shared" si="15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56">+P60+1</f>
        <v>2018</v>
      </c>
      <c r="R60" s="64">
        <f t="shared" si="156"/>
        <v>2019</v>
      </c>
      <c r="S60" s="64">
        <f t="shared" si="156"/>
        <v>2020</v>
      </c>
      <c r="T60" s="64">
        <f t="shared" si="156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57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58">+SUM(D61)+SUM(C62:C72)</f>
        <v>1112.3813</v>
      </c>
      <c r="R61" s="80">
        <f t="shared" ref="R61:X61" si="159">+SUM(E61)+SUM(D62:D72)</f>
        <v>1126.5392999999999</v>
      </c>
      <c r="S61" s="80">
        <f t="shared" si="159"/>
        <v>1223.1381999999999</v>
      </c>
      <c r="T61" s="80">
        <f t="shared" si="159"/>
        <v>1313.4092000000001</v>
      </c>
      <c r="U61" s="80">
        <f t="shared" si="159"/>
        <v>1161.1904</v>
      </c>
      <c r="V61" s="80">
        <f t="shared" si="159"/>
        <v>1088.2899</v>
      </c>
      <c r="W61" s="67">
        <f t="shared" si="159"/>
        <v>971.23720000000003</v>
      </c>
      <c r="X61" s="37">
        <f t="shared" si="159"/>
        <v>976.29018900000017</v>
      </c>
      <c r="Y61" s="78">
        <f t="shared" ref="Y61:Y62" si="160">+X61/W61-1</f>
        <v>5.202631241884248E-3</v>
      </c>
      <c r="Z61" s="7">
        <f t="shared" ref="Z61:Z62" si="161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57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62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63">+SUM(I61:I62)+SUM(H63:H72)</f>
        <v>1073.9671000000001</v>
      </c>
      <c r="W62" s="67">
        <f t="shared" ref="W62:X62" si="164">+SUM(J61:J62)+SUM(I63:I72)</f>
        <v>971.2553999999999</v>
      </c>
      <c r="X62" s="37">
        <f t="shared" si="164"/>
        <v>979.52068900000006</v>
      </c>
      <c r="Y62" s="78">
        <f t="shared" si="160"/>
        <v>8.5099027506052582E-3</v>
      </c>
      <c r="Z62" s="7">
        <f t="shared" si="161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57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65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66">+SUM(I61:I63)+SUM(H64:H72)</f>
        <v>1052.6591999999998</v>
      </c>
      <c r="W63" s="67">
        <f t="shared" ref="W63" si="167">+SUM(J61:J63)+SUM(I64:I72)</f>
        <v>964.92049999999995</v>
      </c>
      <c r="X63" s="37">
        <f t="shared" ref="X63" si="168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57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69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170">+SUM(I61:I64)+SUM(H65:H72)</f>
        <v>1038.7458999999999</v>
      </c>
      <c r="W64" s="67">
        <f t="shared" ref="W64" si="171">+SUM(J61:J64)+SUM(I65:I72)</f>
        <v>962.85440000000006</v>
      </c>
      <c r="X64" s="37">
        <f t="shared" ref="X64" si="172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57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173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174">+SUM(I61:I65)+SUM(H66:H72)</f>
        <v>1030.1900999999998</v>
      </c>
      <c r="W65" s="67">
        <f t="shared" ref="W65" si="175">+SUM(J61:J65)+SUM(I66:I72)</f>
        <v>967.73100000000022</v>
      </c>
      <c r="X65" s="37">
        <f t="shared" ref="X65" si="176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57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177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178">+SUM(I61:I66)+SUM(H67:H72)</f>
        <v>1012.5165</v>
      </c>
      <c r="W66" s="67">
        <f t="shared" ref="W66" si="179">+SUM(J61:J66)+SUM(I67:I72)</f>
        <v>959.61020000000008</v>
      </c>
      <c r="X66" s="37">
        <f t="shared" ref="X66" si="180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/>
      <c r="L67" s="7"/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181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182">+SUM(I61:I67)+SUM(H68:H72)</f>
        <v>1002.5805</v>
      </c>
      <c r="W67" s="67">
        <f t="shared" ref="W67" si="183">+SUM(J61:J67)+SUM(I68:I72)</f>
        <v>971.12279999999998</v>
      </c>
      <c r="X67" s="37"/>
      <c r="Y67" s="78"/>
      <c r="Z67" s="7"/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/>
      <c r="L68" s="7"/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184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185">+SUM(G61:G68)+SUM(F69:F72)</f>
        <v>1213.7646</v>
      </c>
      <c r="U68" s="80">
        <f>+SUM(H61:H68)+SUM(G69:G72)</f>
        <v>1138.3168000000001</v>
      </c>
      <c r="V68" s="80">
        <f t="shared" ref="V68" si="186">+SUM(I61:I68)+SUM(H69:H72)</f>
        <v>989.1742999999999</v>
      </c>
      <c r="W68" s="67">
        <f t="shared" ref="W68" si="187">+SUM(J61:J68)+SUM(I69:I72)</f>
        <v>977.48710000000005</v>
      </c>
      <c r="X68" s="37"/>
      <c r="Y68" s="78"/>
      <c r="Z68" s="7"/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/>
      <c r="L69" s="7"/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188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189">+SUM(H61:H69)+SUM(G70:G72)</f>
        <v>1139.4866</v>
      </c>
      <c r="V69" s="80">
        <f t="shared" ref="V69" si="190">+SUM(I61:I69)+SUM(H70:H72)</f>
        <v>977.44389999999999</v>
      </c>
      <c r="W69" s="67">
        <f t="shared" ref="W69" si="191">+SUM(J61:J69)+SUM(I70:I72)</f>
        <v>975.41250000000014</v>
      </c>
      <c r="X69" s="37"/>
      <c r="Y69" s="78"/>
      <c r="Z69" s="7"/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/>
      <c r="L70" s="7"/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192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193">+SUM(I61:I70)+SUM(H71:H72)</f>
        <v>976.18259999999987</v>
      </c>
      <c r="W70" s="67">
        <f t="shared" ref="W70" si="194">+SUM(J61:J70)+SUM(I71:I72)</f>
        <v>969.78708900000004</v>
      </c>
      <c r="X70" s="37"/>
      <c r="Y70" s="78"/>
      <c r="Z70" s="7"/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195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196">+SUM(I61:I71)+SUM(H72)</f>
        <v>976.00299999999993</v>
      </c>
      <c r="W71" s="67">
        <f t="shared" ref="W71" si="197">+SUM(J61:J71)+SUM(I72)</f>
        <v>973.44468900000004</v>
      </c>
      <c r="X71" s="37"/>
      <c r="Y71" s="78"/>
      <c r="Z71" s="7"/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198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199">+SUM(I61:I72)</f>
        <v>978.00139999999999</v>
      </c>
      <c r="W72" s="67">
        <f t="shared" ref="W72" si="200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01">SUM(C61:C72)</f>
        <v>1115.7646999999999</v>
      </c>
      <c r="D73" s="54">
        <f t="shared" si="201"/>
        <v>1114.9593</v>
      </c>
      <c r="E73" s="54">
        <f t="shared" si="201"/>
        <v>1197.7312999999999</v>
      </c>
      <c r="F73" s="54">
        <f t="shared" si="201"/>
        <v>1337.8181000000002</v>
      </c>
      <c r="G73" s="54">
        <f t="shared" si="201"/>
        <v>1174.3912</v>
      </c>
      <c r="H73" s="54">
        <f t="shared" ref="H73:I73" si="202">SUM(H61:H72)</f>
        <v>1092.8759</v>
      </c>
      <c r="I73" s="54">
        <f t="shared" si="202"/>
        <v>978.00139999999999</v>
      </c>
      <c r="J73" s="186">
        <f t="shared" ref="J73" si="203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04">+AVERAGE(Q61:Q72)</f>
        <v>1107.5877916666668</v>
      </c>
      <c r="R73" s="157">
        <f t="shared" si="204"/>
        <v>1154.4876249999998</v>
      </c>
      <c r="S73" s="157">
        <f t="shared" si="204"/>
        <v>1297.4069416666669</v>
      </c>
      <c r="T73" s="157">
        <f t="shared" si="204"/>
        <v>1236.8592333333333</v>
      </c>
      <c r="U73" s="157">
        <f t="shared" si="204"/>
        <v>1143.0302166666668</v>
      </c>
      <c r="V73" s="157">
        <f t="shared" si="204"/>
        <v>1016.3128666666667</v>
      </c>
      <c r="W73" s="230">
        <f t="shared" ref="W73:X73" si="205">+AVERAGE(W61:W72)</f>
        <v>969.8118889166667</v>
      </c>
      <c r="X73" s="230">
        <f t="shared" si="205"/>
        <v>977.60902233333343</v>
      </c>
      <c r="Y73" s="79">
        <f t="shared" ref="Y73" si="206">+X73/W73-1</f>
        <v>8.0398410307966905E-3</v>
      </c>
      <c r="Z73" s="75">
        <f t="shared" ref="Z73" si="207">+POWER(X73/S73,0.2)-1</f>
        <v>-5.5030488294169122E-2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08">+D73/C73-1</f>
        <v>-7.218367815364779E-4</v>
      </c>
      <c r="E74" s="62">
        <f t="shared" si="208"/>
        <v>7.4237687420518395E-2</v>
      </c>
      <c r="F74" s="62">
        <f t="shared" si="208"/>
        <v>0.11696012285894186</v>
      </c>
      <c r="G74" s="62">
        <f t="shared" si="208"/>
        <v>-0.12215928308938273</v>
      </c>
      <c r="H74" s="62">
        <f t="shared" si="208"/>
        <v>-6.9410687001060678E-2</v>
      </c>
      <c r="I74" s="62">
        <f t="shared" si="208"/>
        <v>-0.10511211748744753</v>
      </c>
      <c r="J74" s="190">
        <f t="shared" si="208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09">+Q73/P73-1</f>
        <v>-3.8782178733893891E-2</v>
      </c>
      <c r="R74" s="50">
        <f t="shared" si="209"/>
        <v>4.2344122683728225E-2</v>
      </c>
      <c r="S74" s="50">
        <f t="shared" si="209"/>
        <v>0.12379458520975239</v>
      </c>
      <c r="T74" s="50">
        <f t="shared" si="209"/>
        <v>-4.6668247555044728E-2</v>
      </c>
      <c r="U74" s="50">
        <f t="shared" si="209"/>
        <v>-7.5860707619732515E-2</v>
      </c>
      <c r="V74" s="50">
        <f t="shared" si="209"/>
        <v>-0.11086089252262854</v>
      </c>
      <c r="W74" s="70">
        <f t="shared" si="209"/>
        <v>-4.5754589236398524E-2</v>
      </c>
      <c r="X74" s="70">
        <f t="shared" si="209"/>
        <v>8.0398410307966905E-3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48" t="str">
        <f>+A5</f>
        <v>VENTA TOTAL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10">+C79+1</f>
        <v>2018</v>
      </c>
      <c r="E79" s="260">
        <f t="shared" si="210"/>
        <v>2019</v>
      </c>
      <c r="F79" s="260">
        <f t="shared" si="210"/>
        <v>2020</v>
      </c>
      <c r="G79" s="260">
        <f t="shared" si="210"/>
        <v>2021</v>
      </c>
      <c r="H79" s="260">
        <f t="shared" si="21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11">+SUM(C7:C9)</f>
        <v>38.356513</v>
      </c>
      <c r="D80" s="6">
        <f t="shared" si="211"/>
        <v>40.236599999999996</v>
      </c>
      <c r="E80" s="6">
        <f t="shared" si="211"/>
        <v>58.9315</v>
      </c>
      <c r="F80" s="6">
        <f t="shared" si="211"/>
        <v>101.4358</v>
      </c>
      <c r="G80" s="6">
        <f t="shared" si="211"/>
        <v>68.307500000000005</v>
      </c>
      <c r="H80" s="6">
        <f t="shared" si="211"/>
        <v>64.156399999999991</v>
      </c>
      <c r="I80" s="6">
        <f t="shared" si="211"/>
        <v>49.145899999999997</v>
      </c>
      <c r="J80" s="67">
        <f t="shared" si="211"/>
        <v>44.295400000000001</v>
      </c>
      <c r="K80" s="265">
        <f t="shared" si="211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12">+SUM(C10:C12)</f>
        <v>52.312299999999993</v>
      </c>
      <c r="D81" s="6">
        <f t="shared" si="212"/>
        <v>53.397999999999996</v>
      </c>
      <c r="E81" s="6">
        <f t="shared" si="212"/>
        <v>69.545400000000001</v>
      </c>
      <c r="F81" s="6">
        <f t="shared" si="212"/>
        <v>88.939099999999996</v>
      </c>
      <c r="G81" s="6">
        <f t="shared" si="212"/>
        <v>91.408000000000001</v>
      </c>
      <c r="H81" s="6">
        <f t="shared" si="212"/>
        <v>80.359200000000001</v>
      </c>
      <c r="I81" s="6">
        <f t="shared" si="212"/>
        <v>58.777799999999999</v>
      </c>
      <c r="J81" s="67">
        <f t="shared" si="212"/>
        <v>66.162899999999993</v>
      </c>
      <c r="K81" s="265">
        <f t="shared" si="212"/>
        <v>73.896900000000002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3">SUM(B80:B83)</f>
        <v>106.324957</v>
      </c>
      <c r="C84" s="54">
        <f t="shared" si="213"/>
        <v>90.668813</v>
      </c>
      <c r="D84" s="54">
        <f t="shared" si="213"/>
        <v>93.634599999999992</v>
      </c>
      <c r="E84" s="54">
        <f t="shared" si="213"/>
        <v>128.4769</v>
      </c>
      <c r="F84" s="54">
        <f t="shared" si="213"/>
        <v>190.3749</v>
      </c>
      <c r="G84" s="54">
        <f t="shared" si="213"/>
        <v>159.71550000000002</v>
      </c>
      <c r="H84" s="54">
        <f t="shared" si="213"/>
        <v>144.51560000000001</v>
      </c>
      <c r="I84" s="54">
        <f t="shared" si="213"/>
        <v>107.9237</v>
      </c>
      <c r="J84" s="186">
        <f t="shared" si="213"/>
        <v>110.45829999999999</v>
      </c>
      <c r="K84" s="267">
        <f t="shared" si="213"/>
        <v>122.76650000000001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14">+D80/C80-1</f>
        <v>4.9016108424662974E-2</v>
      </c>
      <c r="E85" s="257">
        <f t="shared" si="214"/>
        <v>0.46462424757559062</v>
      </c>
      <c r="F85" s="257">
        <f t="shared" si="214"/>
        <v>0.72124924700711834</v>
      </c>
      <c r="G85" s="257">
        <f t="shared" si="214"/>
        <v>-0.32659376669775364</v>
      </c>
      <c r="H85" s="257">
        <f t="shared" si="214"/>
        <v>-6.077077919701368E-2</v>
      </c>
      <c r="I85" s="257">
        <f t="shared" si="214"/>
        <v>-0.23396730489865381</v>
      </c>
      <c r="J85" s="258">
        <f t="shared" si="214"/>
        <v>-9.8695923769836269E-2</v>
      </c>
      <c r="K85" s="269">
        <f t="shared" si="214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15">+D81/C81-1</f>
        <v>2.0754201210805068E-2</v>
      </c>
      <c r="E86" s="257">
        <f t="shared" ref="E86" si="216">+E81/D81-1</f>
        <v>0.30239709352410205</v>
      </c>
      <c r="F86" s="257">
        <f t="shared" ref="F86" si="217">+F81/E81-1</f>
        <v>0.27886387884748665</v>
      </c>
      <c r="G86" s="257">
        <f t="shared" ref="G86" si="218">+G81/F81-1</f>
        <v>2.7759444383853804E-2</v>
      </c>
      <c r="H86" s="257">
        <f t="shared" ref="H86" si="219">+H81/G81-1</f>
        <v>-0.12087344652546828</v>
      </c>
      <c r="I86" s="257">
        <f t="shared" ref="I86" si="220">+I81/H81-1</f>
        <v>-0.26856165815488464</v>
      </c>
      <c r="J86" s="258">
        <f t="shared" ref="J86" si="221">+J81/I81-1</f>
        <v>0.12564437593785405</v>
      </c>
      <c r="K86" s="269">
        <f t="shared" ref="K86" si="222">+K81/J81-1</f>
        <v>0.11689330425359246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48" t="str">
        <f>+A23</f>
        <v>VENTA TOTAL DE VINO SIN MENCIÓN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23">+C94+1</f>
        <v>2018</v>
      </c>
      <c r="E94" s="260">
        <f t="shared" si="223"/>
        <v>2019</v>
      </c>
      <c r="F94" s="260">
        <f t="shared" si="223"/>
        <v>2020</v>
      </c>
      <c r="G94" s="260">
        <f t="shared" si="223"/>
        <v>2021</v>
      </c>
      <c r="H94" s="260">
        <f t="shared" si="223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24">+SUM(C25:C27)</f>
        <v>191.8527</v>
      </c>
      <c r="D95" s="6">
        <f t="shared" si="224"/>
        <v>186.5958</v>
      </c>
      <c r="E95" s="6">
        <f t="shared" si="224"/>
        <v>192.1542</v>
      </c>
      <c r="F95" s="6">
        <f t="shared" si="224"/>
        <v>204.63800000000001</v>
      </c>
      <c r="G95" s="6">
        <f t="shared" si="224"/>
        <v>183.80869999999999</v>
      </c>
      <c r="H95" s="6">
        <f t="shared" si="224"/>
        <v>179.20240000000001</v>
      </c>
      <c r="I95" s="6">
        <f t="shared" si="224"/>
        <v>155.25540000000001</v>
      </c>
      <c r="J95" s="67">
        <f t="shared" si="224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25">+SUM(C28:C30)</f>
        <v>227.69230000000002</v>
      </c>
      <c r="D96" s="6">
        <f t="shared" si="225"/>
        <v>212.9529</v>
      </c>
      <c r="E96" s="6">
        <f t="shared" si="225"/>
        <v>213.09910000000002</v>
      </c>
      <c r="F96" s="6">
        <f t="shared" si="225"/>
        <v>237.26900000000001</v>
      </c>
      <c r="G96" s="6">
        <f t="shared" si="225"/>
        <v>198.50850000000003</v>
      </c>
      <c r="H96" s="6">
        <f t="shared" si="225"/>
        <v>184.07300000000001</v>
      </c>
      <c r="I96" s="6">
        <f t="shared" si="225"/>
        <v>167.03639999999999</v>
      </c>
      <c r="J96" s="67">
        <f t="shared" si="225"/>
        <v>158.14920000000001</v>
      </c>
      <c r="K96" s="265">
        <f t="shared" si="225"/>
        <v>143.852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26">SUM(B95:B98)</f>
        <v>444.25865799999997</v>
      </c>
      <c r="C99" s="54">
        <f t="shared" si="226"/>
        <v>419.54500000000002</v>
      </c>
      <c r="D99" s="54">
        <f t="shared" si="226"/>
        <v>399.5487</v>
      </c>
      <c r="E99" s="54">
        <f t="shared" si="226"/>
        <v>405.25330000000002</v>
      </c>
      <c r="F99" s="54">
        <f t="shared" si="226"/>
        <v>441.90700000000004</v>
      </c>
      <c r="G99" s="54">
        <f t="shared" si="226"/>
        <v>382.31720000000001</v>
      </c>
      <c r="H99" s="54">
        <f t="shared" si="226"/>
        <v>363.27539999999999</v>
      </c>
      <c r="I99" s="54">
        <f t="shared" si="226"/>
        <v>322.29179999999997</v>
      </c>
      <c r="J99" s="186">
        <f t="shared" si="226"/>
        <v>306.44510000000002</v>
      </c>
      <c r="K99" s="267">
        <f t="shared" si="226"/>
        <v>295.04859999999996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27">+D95/C95-1</f>
        <v>-2.7400708981421662E-2</v>
      </c>
      <c r="E100" s="257">
        <f t="shared" si="227"/>
        <v>2.9788451830105478E-2</v>
      </c>
      <c r="F100" s="257">
        <f t="shared" si="227"/>
        <v>6.4967614551230124E-2</v>
      </c>
      <c r="G100" s="257">
        <f t="shared" si="227"/>
        <v>-0.10178608078655982</v>
      </c>
      <c r="H100" s="257">
        <f t="shared" si="227"/>
        <v>-2.5060293664010302E-2</v>
      </c>
      <c r="I100" s="257">
        <f t="shared" si="227"/>
        <v>-0.13363102279880179</v>
      </c>
      <c r="J100" s="258">
        <f t="shared" si="227"/>
        <v>-4.4826138092459167E-2</v>
      </c>
      <c r="K100" s="269">
        <f t="shared" si="227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28">+D96/C96-1</f>
        <v>-6.4733853538305963E-2</v>
      </c>
      <c r="E101" s="257">
        <f t="shared" ref="E101" si="229">+E96/D96-1</f>
        <v>6.8653678818186847E-4</v>
      </c>
      <c r="F101" s="257">
        <f t="shared" ref="F101" si="230">+F96/E96-1</f>
        <v>0.11342093889650395</v>
      </c>
      <c r="G101" s="257">
        <f t="shared" ref="G101" si="231">+G96/F96-1</f>
        <v>-0.16336099532598014</v>
      </c>
      <c r="H101" s="257">
        <f t="shared" ref="H101" si="232">+H96/G96-1</f>
        <v>-7.271980796792088E-2</v>
      </c>
      <c r="I101" s="257">
        <f t="shared" ref="I101" si="233">+I96/H96-1</f>
        <v>-9.2553497797069784E-2</v>
      </c>
      <c r="J101" s="258">
        <f t="shared" ref="J101" si="234">+J96/I96-1</f>
        <v>-5.3205169651644679E-2</v>
      </c>
      <c r="K101" s="269">
        <f t="shared" ref="K101" si="235">+K96/J96-1</f>
        <v>-9.0403239472599317E-2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48" t="str">
        <f>+A41</f>
        <v>VENTA TOTAL DE VINO ESPUMANTE Y GASIFICADO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36">+C109+1</f>
        <v>2018</v>
      </c>
      <c r="E109" s="260">
        <f t="shared" ref="E109" si="237">+D109+1</f>
        <v>2019</v>
      </c>
      <c r="F109" s="260">
        <f t="shared" ref="F109" si="238">+E109+1</f>
        <v>2020</v>
      </c>
      <c r="G109" s="260">
        <f t="shared" ref="G109" si="239">+F109+1</f>
        <v>2021</v>
      </c>
      <c r="H109" s="260">
        <f t="shared" ref="H109" si="240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41">+SUM(C43:C45)</f>
        <v>7.1035900000000005</v>
      </c>
      <c r="D110" s="6">
        <f t="shared" si="241"/>
        <v>6.2094000000000005</v>
      </c>
      <c r="E110" s="6">
        <f t="shared" si="241"/>
        <v>4.5883000000000003</v>
      </c>
      <c r="F110" s="6">
        <f t="shared" si="241"/>
        <v>4.5633999999999997</v>
      </c>
      <c r="G110" s="6">
        <f t="shared" si="241"/>
        <v>5.8170999999999999</v>
      </c>
      <c r="H110" s="6">
        <f t="shared" si="241"/>
        <v>7.2996000000000008</v>
      </c>
      <c r="I110" s="6">
        <f t="shared" si="241"/>
        <v>6.4877000000000002</v>
      </c>
      <c r="J110" s="67">
        <f t="shared" si="241"/>
        <v>4.9010999999999996</v>
      </c>
      <c r="K110" s="265">
        <f t="shared" si="241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242">+SUM(C46:C48)</f>
        <v>9.6989000000000001</v>
      </c>
      <c r="D111" s="6">
        <f t="shared" si="242"/>
        <v>7.8454999999999995</v>
      </c>
      <c r="E111" s="6">
        <f t="shared" si="242"/>
        <v>5.8223000000000003</v>
      </c>
      <c r="F111" s="6">
        <f t="shared" si="242"/>
        <v>4.5007000000000001</v>
      </c>
      <c r="G111" s="6">
        <f t="shared" si="242"/>
        <v>8.1638999999999999</v>
      </c>
      <c r="H111" s="6">
        <f t="shared" si="242"/>
        <v>10.3055</v>
      </c>
      <c r="I111" s="6">
        <f t="shared" si="242"/>
        <v>8.9565999999999999</v>
      </c>
      <c r="J111" s="67">
        <f t="shared" si="242"/>
        <v>5.4573999999999998</v>
      </c>
      <c r="K111" s="265">
        <f t="shared" si="242"/>
        <v>5.6849999999999996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43">SUM(B110:B113)</f>
        <v>17.826535</v>
      </c>
      <c r="C114" s="54">
        <f t="shared" si="243"/>
        <v>16.802489999999999</v>
      </c>
      <c r="D114" s="54">
        <f t="shared" si="243"/>
        <v>14.0549</v>
      </c>
      <c r="E114" s="54">
        <f t="shared" si="243"/>
        <v>10.410600000000001</v>
      </c>
      <c r="F114" s="54">
        <f t="shared" si="243"/>
        <v>9.0640999999999998</v>
      </c>
      <c r="G114" s="54">
        <f t="shared" si="243"/>
        <v>13.981</v>
      </c>
      <c r="H114" s="54">
        <f t="shared" si="243"/>
        <v>17.6051</v>
      </c>
      <c r="I114" s="54">
        <f t="shared" si="243"/>
        <v>15.4443</v>
      </c>
      <c r="J114" s="186">
        <f t="shared" si="243"/>
        <v>10.358499999999999</v>
      </c>
      <c r="K114" s="267">
        <f t="shared" si="243"/>
        <v>10.4846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244">+D110/C110-1</f>
        <v>-0.12587860504336534</v>
      </c>
      <c r="E115" s="257">
        <f t="shared" si="244"/>
        <v>-0.26107192321319295</v>
      </c>
      <c r="F115" s="257">
        <f t="shared" si="244"/>
        <v>-5.4268465444718972E-3</v>
      </c>
      <c r="G115" s="257">
        <f t="shared" si="244"/>
        <v>0.27472936845334628</v>
      </c>
      <c r="H115" s="257">
        <f t="shared" si="244"/>
        <v>0.25485207405752019</v>
      </c>
      <c r="I115" s="257">
        <f t="shared" si="244"/>
        <v>-0.11122527261767778</v>
      </c>
      <c r="J115" s="258">
        <f t="shared" si="244"/>
        <v>-0.24455508115356761</v>
      </c>
      <c r="K115" s="269">
        <f t="shared" si="244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245">+D111/C111-1</f>
        <v>-0.19109383538339408</v>
      </c>
      <c r="E116" s="257">
        <f t="shared" ref="E116" si="246">+E111/D111-1</f>
        <v>-0.25788031355554131</v>
      </c>
      <c r="F116" s="257">
        <f t="shared" ref="F116" si="247">+F111/E111-1</f>
        <v>-0.22698933411194888</v>
      </c>
      <c r="G116" s="257">
        <f t="shared" ref="G116" si="248">+G111/F111-1</f>
        <v>0.81391783500344395</v>
      </c>
      <c r="H116" s="257">
        <f t="shared" ref="H116" si="249">+H111/G111-1</f>
        <v>0.26232560418427475</v>
      </c>
      <c r="I116" s="257">
        <f t="shared" ref="I116" si="250">+I111/H111-1</f>
        <v>-0.13089127165106018</v>
      </c>
      <c r="J116" s="258">
        <f t="shared" ref="J116" si="251">+J111/I111-1</f>
        <v>-0.3906839648973941</v>
      </c>
      <c r="K116" s="269">
        <f t="shared" ref="K116" si="252">+K111/J111-1</f>
        <v>4.1704841133140214E-2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253">+C125+1</f>
        <v>2018</v>
      </c>
      <c r="E125" s="260">
        <f t="shared" si="253"/>
        <v>2019</v>
      </c>
      <c r="F125" s="260">
        <f t="shared" si="253"/>
        <v>2020</v>
      </c>
      <c r="G125" s="260">
        <f t="shared" si="253"/>
        <v>2021</v>
      </c>
      <c r="H125" s="260">
        <f t="shared" si="253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254">+SUM(C61:C63)</f>
        <v>238.10749999999999</v>
      </c>
      <c r="D126" s="6">
        <f t="shared" si="254"/>
        <v>233.87389999999999</v>
      </c>
      <c r="E126" s="6">
        <f t="shared" si="254"/>
        <v>256.19889999999998</v>
      </c>
      <c r="F126" s="6">
        <f t="shared" si="254"/>
        <v>311.88650000000001</v>
      </c>
      <c r="G126" s="6">
        <f t="shared" si="254"/>
        <v>258.90899999999999</v>
      </c>
      <c r="H126" s="6">
        <f t="shared" si="254"/>
        <v>251.63490000000002</v>
      </c>
      <c r="I126" s="6">
        <f t="shared" si="254"/>
        <v>211.41819999999998</v>
      </c>
      <c r="J126" s="67">
        <f t="shared" si="254"/>
        <v>198.3373</v>
      </c>
      <c r="K126" s="265">
        <f t="shared" si="254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255">+SUM(C64:C66)</f>
        <v>290.78020000000004</v>
      </c>
      <c r="D127" s="6">
        <f t="shared" si="255"/>
        <v>275.13749999999999</v>
      </c>
      <c r="E127" s="6">
        <f t="shared" si="255"/>
        <v>289.3623</v>
      </c>
      <c r="F127" s="6">
        <f t="shared" si="255"/>
        <v>331.91649999999998</v>
      </c>
      <c r="G127" s="6">
        <f t="shared" si="255"/>
        <v>299.18610000000001</v>
      </c>
      <c r="H127" s="6">
        <f t="shared" si="255"/>
        <v>275.68639999999999</v>
      </c>
      <c r="I127" s="6">
        <f t="shared" si="255"/>
        <v>235.5437</v>
      </c>
      <c r="J127" s="67">
        <f t="shared" si="255"/>
        <v>230.23340000000002</v>
      </c>
      <c r="K127" s="265">
        <f t="shared" si="255"/>
        <v>225.76300000000001</v>
      </c>
    </row>
    <row r="128" spans="1:11" x14ac:dyDescent="0.25">
      <c r="A128" s="264" t="s">
        <v>301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256">SUM(B126:B129)</f>
        <v>570.05923599999994</v>
      </c>
      <c r="C130" s="54">
        <f t="shared" si="256"/>
        <v>528.8877</v>
      </c>
      <c r="D130" s="54">
        <f t="shared" si="256"/>
        <v>509.01139999999998</v>
      </c>
      <c r="E130" s="54">
        <f t="shared" si="256"/>
        <v>545.56119999999999</v>
      </c>
      <c r="F130" s="54">
        <f t="shared" si="256"/>
        <v>643.803</v>
      </c>
      <c r="G130" s="54">
        <f t="shared" si="256"/>
        <v>558.0951</v>
      </c>
      <c r="H130" s="54">
        <f t="shared" si="256"/>
        <v>527.32130000000006</v>
      </c>
      <c r="I130" s="54">
        <f t="shared" si="256"/>
        <v>446.96190000000001</v>
      </c>
      <c r="J130" s="186">
        <f t="shared" si="256"/>
        <v>428.57069999999999</v>
      </c>
      <c r="K130" s="267">
        <f t="shared" si="256"/>
        <v>431.21500000000003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257">+D126/C126-1</f>
        <v>-1.7780204319477577E-2</v>
      </c>
      <c r="E131" s="257">
        <f t="shared" si="257"/>
        <v>9.5457423851058154E-2</v>
      </c>
      <c r="F131" s="257">
        <f t="shared" si="257"/>
        <v>0.21736080834070726</v>
      </c>
      <c r="G131" s="257">
        <f t="shared" si="257"/>
        <v>-0.16986147204191271</v>
      </c>
      <c r="H131" s="257">
        <f t="shared" si="257"/>
        <v>-2.8095199471628973E-2</v>
      </c>
      <c r="I131" s="257">
        <f t="shared" si="257"/>
        <v>-0.15982163046540854</v>
      </c>
      <c r="J131" s="258">
        <f t="shared" si="257"/>
        <v>-6.1872156701740844E-2</v>
      </c>
      <c r="K131" s="269">
        <f t="shared" si="257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258">+D127/C127-1</f>
        <v>-5.3795616070145269E-2</v>
      </c>
      <c r="E132" s="257">
        <f t="shared" ref="E132" si="259">+E127/D127-1</f>
        <v>5.1700695106992045E-2</v>
      </c>
      <c r="F132" s="257">
        <f t="shared" ref="F132" si="260">+F127/E127-1</f>
        <v>0.1470620049674749</v>
      </c>
      <c r="G132" s="257">
        <f t="shared" ref="G132" si="261">+G127/F127-1</f>
        <v>-9.8610343264043721E-2</v>
      </c>
      <c r="H132" s="257">
        <f t="shared" ref="H132" si="262">+H127/G127-1</f>
        <v>-7.8545427076993302E-2</v>
      </c>
      <c r="I132" s="257">
        <f t="shared" ref="I132" si="263">+I127/H127-1</f>
        <v>-0.14561001195561329</v>
      </c>
      <c r="J132" s="258">
        <f t="shared" ref="J132" si="264">+J127/I127-1</f>
        <v>-2.2544861102207325E-2</v>
      </c>
      <c r="K132" s="269">
        <f t="shared" ref="K132" si="265">+K127/J127-1</f>
        <v>-1.9416817890019478E-2</v>
      </c>
    </row>
    <row r="133" spans="1:11" x14ac:dyDescent="0.25">
      <c r="A133" s="268" t="s">
        <v>305</v>
      </c>
      <c r="B133" s="256"/>
      <c r="C133" s="257"/>
      <c r="D133" s="257"/>
      <c r="E133" s="257"/>
      <c r="F133" s="257"/>
      <c r="G133" s="257"/>
      <c r="H133" s="257"/>
      <c r="I133" s="257"/>
      <c r="J133" s="258"/>
      <c r="K133" s="269"/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42" t="s">
        <v>309</v>
      </c>
      <c r="B140" s="343"/>
      <c r="C140" s="343"/>
      <c r="D140" s="343"/>
      <c r="E140" s="343"/>
      <c r="F140" s="343"/>
      <c r="G140" s="343"/>
      <c r="H140" s="343"/>
      <c r="I140" s="343"/>
      <c r="J140" s="343"/>
      <c r="K140" s="34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266">+C141+1</f>
        <v>2018</v>
      </c>
      <c r="E141" s="260">
        <f t="shared" ref="E141" si="267">+D141+1</f>
        <v>2019</v>
      </c>
      <c r="F141" s="260">
        <f t="shared" ref="F141" si="268">+E141+1</f>
        <v>2020</v>
      </c>
      <c r="G141" s="260">
        <f t="shared" ref="G141" si="269">+F141+1</f>
        <v>2021</v>
      </c>
      <c r="H141" s="260">
        <f t="shared" ref="H141" si="270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271">+C126+C127</f>
        <v>528.8877</v>
      </c>
      <c r="D142" s="6">
        <f t="shared" si="271"/>
        <v>509.01139999999998</v>
      </c>
      <c r="E142" s="6">
        <f t="shared" si="271"/>
        <v>545.56119999999999</v>
      </c>
      <c r="F142" s="6">
        <f t="shared" si="271"/>
        <v>643.803</v>
      </c>
      <c r="G142" s="6">
        <f t="shared" si="271"/>
        <v>558.0951</v>
      </c>
      <c r="H142" s="6">
        <f t="shared" si="271"/>
        <v>527.32130000000006</v>
      </c>
      <c r="I142" s="6">
        <f t="shared" si="271"/>
        <v>446.96190000000001</v>
      </c>
      <c r="J142" s="67">
        <f t="shared" si="271"/>
        <v>428.57069999999999</v>
      </c>
      <c r="K142" s="315">
        <f t="shared" si="271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272">SUM(B142:B143)</f>
        <v>570.05923599999994</v>
      </c>
      <c r="C144" s="54">
        <f t="shared" si="272"/>
        <v>528.8877</v>
      </c>
      <c r="D144" s="54">
        <f t="shared" si="272"/>
        <v>509.01139999999998</v>
      </c>
      <c r="E144" s="54">
        <f t="shared" si="272"/>
        <v>545.56119999999999</v>
      </c>
      <c r="F144" s="54">
        <f t="shared" si="272"/>
        <v>643.803</v>
      </c>
      <c r="G144" s="54">
        <f t="shared" si="272"/>
        <v>558.0951</v>
      </c>
      <c r="H144" s="54">
        <f t="shared" si="272"/>
        <v>527.32130000000006</v>
      </c>
      <c r="I144" s="54">
        <f t="shared" si="272"/>
        <v>446.96190000000001</v>
      </c>
      <c r="J144" s="186">
        <f t="shared" si="272"/>
        <v>428.57069999999999</v>
      </c>
      <c r="K144" s="317">
        <f t="shared" si="272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273">+D142/C142-1</f>
        <v>-3.7581323974824943E-2</v>
      </c>
      <c r="E145" s="257">
        <f t="shared" ref="E145" si="274">+E142/D142-1</f>
        <v>7.1805464474862468E-2</v>
      </c>
      <c r="F145" s="257">
        <f t="shared" ref="F145" si="275">+F142/E142-1</f>
        <v>0.18007475604936718</v>
      </c>
      <c r="G145" s="257">
        <f t="shared" ref="G145" si="276">+G142/F142-1</f>
        <v>-0.13312752503483205</v>
      </c>
      <c r="H145" s="257">
        <f t="shared" ref="H145" si="277">+H142/G142-1</f>
        <v>-5.5140781562138641E-2</v>
      </c>
      <c r="I145" s="257">
        <f t="shared" ref="I145" si="278">+I142/H142-1</f>
        <v>-0.15239172019032809</v>
      </c>
      <c r="J145" s="258">
        <f t="shared" ref="J145" si="279">+J142/I142-1</f>
        <v>-4.1147131332670672E-2</v>
      </c>
      <c r="K145" s="318">
        <f t="shared" ref="K145" si="280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  <mergeCell ref="A140:K140"/>
    <mergeCell ref="A78:K78"/>
    <mergeCell ref="A93:K93"/>
    <mergeCell ref="A124:K124"/>
    <mergeCell ref="A108:K108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X132" sqref="X132:Z132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57" t="s">
        <v>194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  <c r="AC1" s="178"/>
    </row>
    <row r="2" spans="1:29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9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51" t="s">
        <v>291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290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/>
      <c r="L14" s="7"/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W14" si="15">+(SUM(C7:C14)+SUM(B15:B18))/12</f>
        <v>85097.744523307134</v>
      </c>
      <c r="Q14" s="160">
        <f t="shared" si="15"/>
        <v>69848.344550932918</v>
      </c>
      <c r="R14" s="160">
        <f t="shared" si="15"/>
        <v>36048.187328853433</v>
      </c>
      <c r="S14" s="160">
        <f t="shared" si="15"/>
        <v>27754.951627503582</v>
      </c>
      <c r="T14" s="160">
        <f t="shared" si="15"/>
        <v>51484.090183149325</v>
      </c>
      <c r="U14" s="160">
        <f t="shared" si="15"/>
        <v>61090.438770589819</v>
      </c>
      <c r="V14" s="160">
        <f t="shared" si="15"/>
        <v>69863.331273894335</v>
      </c>
      <c r="W14" s="161">
        <f t="shared" si="15"/>
        <v>54441.658138931547</v>
      </c>
      <c r="X14" s="162"/>
      <c r="Y14" s="78"/>
      <c r="Z14" s="7"/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/>
      <c r="L15" s="7"/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W15" si="16">+(SUM(C7:C15)+SUM(B16:B18))/12</f>
        <v>86543.163135345385</v>
      </c>
      <c r="Q15" s="160">
        <f t="shared" si="16"/>
        <v>66639.474654156031</v>
      </c>
      <c r="R15" s="160">
        <f t="shared" si="16"/>
        <v>34235.042623316171</v>
      </c>
      <c r="S15" s="160">
        <f t="shared" si="16"/>
        <v>28113.719681403745</v>
      </c>
      <c r="T15" s="160">
        <f t="shared" si="16"/>
        <v>53601.683149599681</v>
      </c>
      <c r="U15" s="160">
        <f t="shared" si="16"/>
        <v>61149.480527177126</v>
      </c>
      <c r="V15" s="160">
        <f t="shared" si="16"/>
        <v>70112.015211823527</v>
      </c>
      <c r="W15" s="161">
        <f t="shared" si="16"/>
        <v>52755.72268399936</v>
      </c>
      <c r="X15" s="162"/>
      <c r="Y15" s="78"/>
      <c r="Z15" s="7"/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/>
      <c r="L16" s="7"/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W16" si="17">+(SUM(C7:C16)+SUM(B17:B18))/12</f>
        <v>84964.19354421139</v>
      </c>
      <c r="Q16" s="160">
        <f t="shared" si="17"/>
        <v>64425.180806738827</v>
      </c>
      <c r="R16" s="160">
        <f t="shared" si="17"/>
        <v>32556.897797985537</v>
      </c>
      <c r="S16" s="160">
        <f t="shared" si="17"/>
        <v>28525.801832950485</v>
      </c>
      <c r="T16" s="160">
        <f t="shared" si="17"/>
        <v>56060.906346128504</v>
      </c>
      <c r="U16" s="160">
        <f t="shared" si="17"/>
        <v>59961.269798197005</v>
      </c>
      <c r="V16" s="160">
        <f t="shared" si="17"/>
        <v>70689.295142806077</v>
      </c>
      <c r="W16" s="161">
        <f t="shared" si="17"/>
        <v>52607.811048547381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/>
      <c r="L17" s="7"/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W17" si="18">+(SUM(C7:C17)+SUM(B18))/12</f>
        <v>84333.904323636641</v>
      </c>
      <c r="Q17" s="160">
        <f t="shared" si="18"/>
        <v>61803.862284472241</v>
      </c>
      <c r="R17" s="160">
        <f t="shared" si="18"/>
        <v>31627.637269098104</v>
      </c>
      <c r="S17" s="160">
        <f t="shared" si="18"/>
        <v>29708.231089575642</v>
      </c>
      <c r="T17" s="160">
        <f t="shared" si="18"/>
        <v>56791.182796525907</v>
      </c>
      <c r="U17" s="160">
        <f t="shared" si="18"/>
        <v>61135.025830363236</v>
      </c>
      <c r="V17" s="160">
        <f t="shared" si="18"/>
        <v>69440.281248956977</v>
      </c>
      <c r="W17" s="161">
        <f t="shared" si="18"/>
        <v>52040.395803168554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19">+(SUM(C7:C18))/12</f>
        <v>82539.369306388806</v>
      </c>
      <c r="Q18" s="160">
        <f t="shared" si="19"/>
        <v>58876.229330402595</v>
      </c>
      <c r="R18" s="160">
        <f t="shared" si="19"/>
        <v>29900.778650694458</v>
      </c>
      <c r="S18" s="160">
        <f t="shared" si="19"/>
        <v>30974.754875556057</v>
      </c>
      <c r="T18" s="160">
        <f t="shared" si="19"/>
        <v>57514.815488374334</v>
      </c>
      <c r="U18" s="160">
        <f t="shared" si="19"/>
        <v>61884.749539126169</v>
      </c>
      <c r="V18" s="160">
        <f t="shared" si="19"/>
        <v>68729.804852234389</v>
      </c>
      <c r="W18" s="161">
        <f t="shared" si="19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20">AVERAGE(C7:C18)</f>
        <v>82539.369306388806</v>
      </c>
      <c r="D19" s="211">
        <f t="shared" si="20"/>
        <v>58876.229330402595</v>
      </c>
      <c r="E19" s="211">
        <f t="shared" si="20"/>
        <v>29900.778650694458</v>
      </c>
      <c r="F19" s="211">
        <f t="shared" si="20"/>
        <v>30974.754875556057</v>
      </c>
      <c r="G19" s="211">
        <f t="shared" si="20"/>
        <v>57514.815488374334</v>
      </c>
      <c r="H19" s="211">
        <f t="shared" si="20"/>
        <v>61884.749539126169</v>
      </c>
      <c r="I19" s="211">
        <f t="shared" ref="I19:J19" si="21">AVERAGE(I7:I18)</f>
        <v>68729.804852234389</v>
      </c>
      <c r="J19" s="212">
        <f t="shared" si="21"/>
        <v>50506.977712248823</v>
      </c>
      <c r="K19" s="212"/>
      <c r="L19" s="165"/>
      <c r="M19" s="3"/>
      <c r="N19" s="43" t="s">
        <v>14</v>
      </c>
      <c r="O19" s="163">
        <f t="shared" ref="O19" si="22">+AVERAGE(O7:O18)</f>
        <v>37783.72270796739</v>
      </c>
      <c r="P19" s="163">
        <f>+AVERAGE(P7:P18)</f>
        <v>81540.264123719346</v>
      </c>
      <c r="Q19" s="163">
        <f t="shared" ref="Q19:T19" si="23">+AVERAGE(Q7:Q18)</f>
        <v>71466.18003924191</v>
      </c>
      <c r="R19" s="163">
        <f t="shared" si="23"/>
        <v>41242.703645052352</v>
      </c>
      <c r="S19" s="163">
        <f t="shared" si="23"/>
        <v>27992.320457166992</v>
      </c>
      <c r="T19" s="163">
        <f t="shared" si="23"/>
        <v>46418.10093435648</v>
      </c>
      <c r="U19" s="163">
        <f t="shared" ref="U19:V19" si="24">+AVERAGE(U7:U18)</f>
        <v>60880.682372195653</v>
      </c>
      <c r="V19" s="163">
        <f t="shared" si="24"/>
        <v>67638.42556358529</v>
      </c>
      <c r="W19" s="164">
        <f t="shared" ref="W19:X19" si="25">+AVERAGE(W7:W18)</f>
        <v>57709.900131334987</v>
      </c>
      <c r="X19" s="164">
        <f t="shared" si="25"/>
        <v>44754.785351773651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26">+C19/B19-1</f>
        <v>0.24377617910263716</v>
      </c>
      <c r="D20" s="50">
        <f t="shared" si="26"/>
        <v>-0.28668912998532703</v>
      </c>
      <c r="E20" s="50">
        <f t="shared" si="26"/>
        <v>-0.49214175243973635</v>
      </c>
      <c r="F20" s="50">
        <f t="shared" si="26"/>
        <v>3.5918001915868247E-2</v>
      </c>
      <c r="G20" s="50">
        <f t="shared" si="26"/>
        <v>0.85682875359128507</v>
      </c>
      <c r="H20" s="50">
        <f t="shared" si="26"/>
        <v>7.5979276185544675E-2</v>
      </c>
      <c r="I20" s="50">
        <f t="shared" si="26"/>
        <v>0.11060972798767632</v>
      </c>
      <c r="J20" s="70">
        <f t="shared" si="26"/>
        <v>-0.26513718726779045</v>
      </c>
      <c r="K20" s="70"/>
      <c r="L20" s="52"/>
      <c r="M20" s="2"/>
      <c r="N20" s="45" t="s">
        <v>12</v>
      </c>
      <c r="O20" s="49"/>
      <c r="P20" s="50">
        <f t="shared" ref="P20:X20" si="27">+P19/O19-1</f>
        <v>1.1580791483663173</v>
      </c>
      <c r="Q20" s="50">
        <f t="shared" si="27"/>
        <v>-0.1235473565451326</v>
      </c>
      <c r="R20" s="50">
        <f t="shared" si="27"/>
        <v>-0.42290600081876373</v>
      </c>
      <c r="S20" s="50">
        <f t="shared" si="27"/>
        <v>-0.32127823873823391</v>
      </c>
      <c r="T20" s="50">
        <f t="shared" si="27"/>
        <v>0.6582441246835562</v>
      </c>
      <c r="U20" s="50">
        <f t="shared" si="27"/>
        <v>0.31157201924938405</v>
      </c>
      <c r="V20" s="50">
        <f t="shared" si="27"/>
        <v>0.11099979382747382</v>
      </c>
      <c r="W20" s="70">
        <f t="shared" si="27"/>
        <v>-0.14678823981372435</v>
      </c>
      <c r="X20" s="70">
        <f t="shared" si="27"/>
        <v>-0.22448686880549706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51" t="s">
        <v>292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3"/>
      <c r="M22" s="2"/>
      <c r="N22" s="351" t="s">
        <v>279</v>
      </c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3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28">+C23+1</f>
        <v>2018</v>
      </c>
      <c r="E23" s="39">
        <f t="shared" si="28"/>
        <v>2019</v>
      </c>
      <c r="F23" s="39">
        <f t="shared" si="28"/>
        <v>2020</v>
      </c>
      <c r="G23" s="39">
        <f t="shared" si="28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29">+P23+1</f>
        <v>2018</v>
      </c>
      <c r="R23" s="64">
        <f t="shared" si="29"/>
        <v>2019</v>
      </c>
      <c r="S23" s="64">
        <f t="shared" si="29"/>
        <v>2020</v>
      </c>
      <c r="T23" s="64">
        <f t="shared" ref="T23" si="30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0" si="31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32">+(SUM(C24)+SUM(B25:B35))/12</f>
        <v>40433.986106886463</v>
      </c>
      <c r="Q24" s="160">
        <f t="shared" si="32"/>
        <v>48719.377594429905</v>
      </c>
      <c r="R24" s="160">
        <f t="shared" si="32"/>
        <v>37348.736048765633</v>
      </c>
      <c r="S24" s="160">
        <f t="shared" si="32"/>
        <v>23796.059632934117</v>
      </c>
      <c r="T24" s="160">
        <f t="shared" si="32"/>
        <v>29059.966710437042</v>
      </c>
      <c r="U24" s="160">
        <f t="shared" si="32"/>
        <v>43287.37311393796</v>
      </c>
      <c r="V24" s="160">
        <f t="shared" si="32"/>
        <v>59559.281156606419</v>
      </c>
      <c r="W24" s="161">
        <f t="shared" si="32"/>
        <v>58586.030302249448</v>
      </c>
      <c r="X24" s="162">
        <f t="shared" si="32"/>
        <v>40909.750157461654</v>
      </c>
      <c r="Y24" s="78">
        <f t="shared" ref="Y24:Y30" si="33">+X24/W24-1</f>
        <v>-0.30171493193163323</v>
      </c>
      <c r="Z24" s="7">
        <f t="shared" ref="Z24:Z30" si="34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31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35">+(SUM(C24:C25)+SUM(B26:B35))/12</f>
        <v>40440.860021839508</v>
      </c>
      <c r="Q25" s="160">
        <f t="shared" si="35"/>
        <v>51333.159409209569</v>
      </c>
      <c r="R25" s="160">
        <f t="shared" si="35"/>
        <v>34606.381112011222</v>
      </c>
      <c r="S25" s="160">
        <f t="shared" si="35"/>
        <v>23915.902533226577</v>
      </c>
      <c r="T25" s="160">
        <f t="shared" si="35"/>
        <v>29970.899583327915</v>
      </c>
      <c r="U25" s="160">
        <f t="shared" si="35"/>
        <v>42508.425739559832</v>
      </c>
      <c r="V25" s="160">
        <f t="shared" ref="V25" si="36">+(SUM(I24:I25)+SUM(H26:H35))/12</f>
        <v>60231.282172821964</v>
      </c>
      <c r="W25" s="161">
        <f t="shared" ref="W25" si="37">+(SUM(J24:J25)+SUM(I26:I35))/12</f>
        <v>60159.209545130056</v>
      </c>
      <c r="X25" s="162">
        <f t="shared" ref="X25" si="38">+(SUM(K24:K25)+SUM(J26:J35))/12</f>
        <v>39342.485004379625</v>
      </c>
      <c r="Y25" s="78">
        <f t="shared" si="33"/>
        <v>-0.34602722838527666</v>
      </c>
      <c r="Z25" s="7">
        <f t="shared" si="34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31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39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40">+(SUM(I24:I26)+SUM(H27:H35))/12</f>
        <v>63141.287889718929</v>
      </c>
      <c r="W26" s="161">
        <f t="shared" ref="W26" si="41">+(SUM(J24:J26)+SUM(I27:I35))/12</f>
        <v>55484.745757293764</v>
      </c>
      <c r="X26" s="162">
        <f t="shared" ref="X26" si="42">+(SUM(K24:K26)+SUM(J27:J35))/12</f>
        <v>37704.411639227255</v>
      </c>
      <c r="Y26" s="78">
        <f t="shared" si="33"/>
        <v>-0.3204544578043631</v>
      </c>
      <c r="Z26" s="7">
        <f t="shared" si="34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31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43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44">+(SUM(I24:I27)+SUM(H28:H35))/12</f>
        <v>63091.497865835881</v>
      </c>
      <c r="W27" s="161">
        <f t="shared" ref="W27:X27" si="45">+(SUM(J24:J27)+SUM(I28:I35))/12</f>
        <v>51932.647439684952</v>
      </c>
      <c r="X27" s="162">
        <f t="shared" si="45"/>
        <v>36017.240977365342</v>
      </c>
      <c r="Y27" s="78">
        <f t="shared" si="33"/>
        <v>-0.30646245179015585</v>
      </c>
      <c r="Z27" s="7">
        <f t="shared" si="34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31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46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47">+(SUM(I24:I28)+SUM(H29:H35))/12</f>
        <v>62848.245707537862</v>
      </c>
      <c r="W28" s="161">
        <f t="shared" ref="W28" si="48">+(SUM(J24:J28)+SUM(I29:I35))/12</f>
        <v>49568.520751985219</v>
      </c>
      <c r="X28" s="162">
        <f t="shared" ref="X28" si="49">+(SUM(K24:K28)+SUM(J29:J35))/12</f>
        <v>34169.138020380655</v>
      </c>
      <c r="Y28" s="78">
        <f t="shared" si="33"/>
        <v>-0.31066859567294669</v>
      </c>
      <c r="Z28" s="7">
        <f t="shared" si="34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31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50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51">+(SUM(I24:I29)+SUM(H30:H35))/12</f>
        <v>62404.397462748522</v>
      </c>
      <c r="W29" s="161">
        <f t="shared" ref="W29" si="52">+(SUM(J24:J29)+SUM(I30:I35))/12</f>
        <v>48636.371550476943</v>
      </c>
      <c r="X29" s="162">
        <f t="shared" ref="X29" si="53">+(SUM(K24:K29)+SUM(J30:J35))/12</f>
        <v>32794.213413559002</v>
      </c>
      <c r="Y29" s="78">
        <f t="shared" si="33"/>
        <v>-0.32572656289699287</v>
      </c>
      <c r="Z29" s="7">
        <f t="shared" si="34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31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54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55">+(SUM(I24:I30)+SUM(H31:H35))/12</f>
        <v>65256.980246131156</v>
      </c>
      <c r="W30" s="161">
        <f t="shared" ref="W30" si="56">+(SUM(J24:J30)+SUM(I31:I35))/12</f>
        <v>43756.96238523486</v>
      </c>
      <c r="X30" s="162">
        <f t="shared" ref="X30" si="57">+(SUM(K24:K30)+SUM(J31:J35))/12</f>
        <v>32176.64917639854</v>
      </c>
      <c r="Y30" s="78">
        <f t="shared" si="33"/>
        <v>-0.26465075676148686</v>
      </c>
      <c r="Z30" s="7">
        <f t="shared" si="34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/>
      <c r="L31" s="7"/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58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59">+(SUM(I24:I31)+SUM(H32:H35))/12</f>
        <v>65751.800239183518</v>
      </c>
      <c r="W31" s="161">
        <f t="shared" ref="W31" si="60">+(SUM(J24:J31)+SUM(I32:I35))/12</f>
        <v>41812.97833638906</v>
      </c>
      <c r="X31" s="162"/>
      <c r="Y31" s="78"/>
      <c r="Z31" s="7"/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/>
      <c r="L32" s="7"/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61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62">+(SUM(I24:I32)+SUM(H33:H35))/12</f>
        <v>65487.389174377262</v>
      </c>
      <c r="W32" s="161">
        <f t="shared" ref="W32" si="63">+(SUM(J24:J32)+SUM(I33:I35))/12</f>
        <v>40991.981033536598</v>
      </c>
      <c r="X32" s="162"/>
      <c r="Y32" s="78"/>
      <c r="Z32" s="7"/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/>
      <c r="L33" s="7"/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64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65">+(SUM(I24:I33)+SUM(H34:H35))/12</f>
        <v>65854.880129984973</v>
      </c>
      <c r="W33" s="161">
        <f t="shared" ref="W33" si="66">+(SUM(J24:J33)+SUM(I34:I35))/12</f>
        <v>40507.038970284448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/>
      <c r="L34" s="7"/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67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68">+(SUM(I24:I34)+SUM(H35))/12</f>
        <v>60992.135644877861</v>
      </c>
      <c r="W34" s="161">
        <f t="shared" ref="W34" si="69">+(SUM(J24:J34)+SUM(I35))/12</f>
        <v>40491.662614684094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70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71">+(SUM(I24:I35))/12</f>
        <v>59954.104120439159</v>
      </c>
      <c r="W35" s="161">
        <f t="shared" ref="W35" si="72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73">AVERAGE(C24:C35)</f>
        <v>50066.931840634359</v>
      </c>
      <c r="D36" s="211">
        <f t="shared" ref="D36" si="74">AVERAGE(D24:D35)</f>
        <v>38215.717123634458</v>
      </c>
      <c r="E36" s="211">
        <f t="shared" ref="E36" si="75">AVERAGE(E24:E35)</f>
        <v>23985.02711668644</v>
      </c>
      <c r="F36" s="211">
        <f t="shared" ref="F36" si="76">AVERAGE(F24:F35)</f>
        <v>26560.787201097468</v>
      </c>
      <c r="G36" s="211">
        <f t="shared" ref="G36:I36" si="77">AVERAGE(G24:G35)</f>
        <v>44963.590817711141</v>
      </c>
      <c r="H36" s="211">
        <f t="shared" si="77"/>
        <v>57289.291569828776</v>
      </c>
      <c r="I36" s="211">
        <f t="shared" si="77"/>
        <v>59954.104120439159</v>
      </c>
      <c r="J36" s="212">
        <f t="shared" ref="J36" si="78">AVERAGE(J24:J35)</f>
        <v>41234.536188220889</v>
      </c>
      <c r="K36" s="212"/>
      <c r="L36" s="165"/>
      <c r="M36" s="3"/>
      <c r="N36" s="43" t="s">
        <v>14</v>
      </c>
      <c r="O36" s="163">
        <f t="shared" ref="O36" si="79">+AVERAGE(O24:O35)</f>
        <v>30259.875474300465</v>
      </c>
      <c r="P36" s="163">
        <f>+AVERAGE(P24:P35)</f>
        <v>46336.483602729139</v>
      </c>
      <c r="Q36" s="163">
        <f t="shared" ref="Q36" si="80">+AVERAGE(Q24:Q35)</f>
        <v>45226.685771478755</v>
      </c>
      <c r="R36" s="163">
        <f t="shared" ref="R36" si="81">+AVERAGE(R24:R35)</f>
        <v>30290.547272871267</v>
      </c>
      <c r="S36" s="163">
        <f t="shared" ref="S36:X36" si="82">+AVERAGE(S24:S35)</f>
        <v>23615.082175655494</v>
      </c>
      <c r="T36" s="163">
        <f t="shared" si="82"/>
        <v>39274.72956695094</v>
      </c>
      <c r="U36" s="163">
        <f t="shared" si="82"/>
        <v>48867.125251896796</v>
      </c>
      <c r="V36" s="163">
        <f t="shared" si="82"/>
        <v>62881.106817521963</v>
      </c>
      <c r="W36" s="164">
        <f t="shared" si="82"/>
        <v>47763.55707293086</v>
      </c>
      <c r="X36" s="164">
        <f t="shared" si="82"/>
        <v>36159.126912681728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83">+C36/B36-1</f>
        <v>0.29954793314657335</v>
      </c>
      <c r="D37" s="50">
        <f t="shared" si="83"/>
        <v>-0.23670742906161957</v>
      </c>
      <c r="E37" s="50">
        <f t="shared" si="83"/>
        <v>-0.3723779397076149</v>
      </c>
      <c r="F37" s="50">
        <f t="shared" si="83"/>
        <v>0.10739033447325408</v>
      </c>
      <c r="G37" s="50">
        <f t="shared" si="83"/>
        <v>0.69285610690986177</v>
      </c>
      <c r="H37" s="50">
        <f t="shared" si="83"/>
        <v>0.27412625477550923</v>
      </c>
      <c r="I37" s="50">
        <f t="shared" ref="I37:J37" si="84">+I36/H36-1</f>
        <v>4.6515020130110996E-2</v>
      </c>
      <c r="J37" s="70">
        <f t="shared" si="84"/>
        <v>-0.31223163462860448</v>
      </c>
      <c r="K37" s="70"/>
      <c r="L37" s="52"/>
      <c r="M37" s="2"/>
      <c r="N37" s="45" t="s">
        <v>12</v>
      </c>
      <c r="O37" s="49"/>
      <c r="P37" s="50">
        <f t="shared" ref="P37:S37" si="85">+P36/O36-1</f>
        <v>0.53128467571132076</v>
      </c>
      <c r="Q37" s="50">
        <f t="shared" si="85"/>
        <v>-2.3950842726119581E-2</v>
      </c>
      <c r="R37" s="50">
        <f t="shared" si="85"/>
        <v>-0.33025056432560096</v>
      </c>
      <c r="S37" s="50">
        <f t="shared" si="85"/>
        <v>-0.22038113201059373</v>
      </c>
      <c r="T37" s="50">
        <f t="shared" ref="T37" si="86">+T36/S36-1</f>
        <v>0.66312059703263659</v>
      </c>
      <c r="U37" s="50">
        <f t="shared" ref="U37" si="87">+U36/T36-1</f>
        <v>0.24423836371919161</v>
      </c>
      <c r="V37" s="50">
        <f t="shared" ref="V37" si="88">+V36/U36-1</f>
        <v>0.28677728623050536</v>
      </c>
      <c r="W37" s="70">
        <f t="shared" ref="W37" si="89">+W36/V36-1</f>
        <v>-0.24041481630502348</v>
      </c>
      <c r="X37" s="70">
        <f t="shared" ref="X37" si="90">+X36/W36-1</f>
        <v>-0.24295573595011277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51" t="s">
        <v>293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3"/>
      <c r="M39" s="2"/>
      <c r="N39" s="351" t="s">
        <v>289</v>
      </c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3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91">+C40+1</f>
        <v>2018</v>
      </c>
      <c r="E40" s="39">
        <f t="shared" si="91"/>
        <v>2019</v>
      </c>
      <c r="F40" s="39">
        <f t="shared" si="91"/>
        <v>2020</v>
      </c>
      <c r="G40" s="39">
        <f t="shared" si="91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92">+P40+1</f>
        <v>2018</v>
      </c>
      <c r="R40" s="64">
        <f t="shared" si="92"/>
        <v>2019</v>
      </c>
      <c r="S40" s="64">
        <f t="shared" ref="S40" si="93">+R40+1</f>
        <v>2020</v>
      </c>
      <c r="T40" s="64">
        <f t="shared" ref="T40" si="94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95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96">+(SUM(D41)+SUM(C42:C52))/12</f>
        <v>46279.063123527718</v>
      </c>
      <c r="R41" s="160">
        <f t="shared" ref="R41:X41" si="97">+(SUM(E41)+SUM(D42:D52))/12</f>
        <v>36920.313855888766</v>
      </c>
      <c r="S41" s="160">
        <f t="shared" si="97"/>
        <v>23459.355977644362</v>
      </c>
      <c r="T41" s="160">
        <f t="shared" si="97"/>
        <v>30105.006287781489</v>
      </c>
      <c r="U41" s="160">
        <f t="shared" si="97"/>
        <v>52174.633814809902</v>
      </c>
      <c r="V41" s="160">
        <f t="shared" si="97"/>
        <v>48147.491619859757</v>
      </c>
      <c r="W41" s="161">
        <f t="shared" si="97"/>
        <v>50860.145368333622</v>
      </c>
      <c r="X41" s="162">
        <f t="shared" si="97"/>
        <v>33027.369574107644</v>
      </c>
      <c r="Y41" s="78">
        <f t="shared" ref="Y41:Y47" si="98">+X41/W41-1</f>
        <v>-0.35062376768842196</v>
      </c>
      <c r="Z41" s="7">
        <f t="shared" ref="Z41:Z47" si="99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95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00">+(SUM(C41:C42)+SUM(B43:B52))/12</f>
        <v>30905.670284281019</v>
      </c>
      <c r="Q42" s="160">
        <f t="shared" si="100"/>
        <v>47457.668424054202</v>
      </c>
      <c r="R42" s="160">
        <f t="shared" si="100"/>
        <v>35241.603371265664</v>
      </c>
      <c r="S42" s="160">
        <f t="shared" si="100"/>
        <v>23040.801031218973</v>
      </c>
      <c r="T42" s="160">
        <f t="shared" si="100"/>
        <v>31967.126848865872</v>
      </c>
      <c r="U42" s="160">
        <f t="shared" si="100"/>
        <v>52569.836910720413</v>
      </c>
      <c r="V42" s="160">
        <f t="shared" ref="V42" si="101">+(SUM(I41:I42)+SUM(H43:H52))/12</f>
        <v>47572.04598637655</v>
      </c>
      <c r="W42" s="161">
        <f t="shared" ref="W42" si="102">+(SUM(J41:J42)+SUM(I43:I52))/12</f>
        <v>49980.880334491834</v>
      </c>
      <c r="X42" s="162">
        <f t="shared" ref="X42" si="103">+(SUM(K41:K42)+SUM(J43:J52))/12</f>
        <v>32774.645433582191</v>
      </c>
      <c r="Y42" s="78">
        <f t="shared" si="98"/>
        <v>-0.34425633933933752</v>
      </c>
      <c r="Z42" s="7">
        <f t="shared" si="99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95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04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05">+(SUM(I41:I43)+SUM(H44:H52))/12</f>
        <v>48017.137569110579</v>
      </c>
      <c r="W43" s="161">
        <f t="shared" ref="W43" si="106">+(SUM(J41:J43)+SUM(I44:I52))/12</f>
        <v>47646.265009922383</v>
      </c>
      <c r="X43" s="162">
        <f t="shared" ref="X43" si="107">+(SUM(K41:K43)+SUM(J44:J52))/12</f>
        <v>32150.204961993044</v>
      </c>
      <c r="Y43" s="78">
        <f t="shared" si="98"/>
        <v>-0.32523137007071312</v>
      </c>
      <c r="Z43" s="7">
        <f t="shared" si="99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95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08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09">+(SUM(I41:I44)+SUM(H45:H52))/12</f>
        <v>50892.276914522932</v>
      </c>
      <c r="W44" s="161">
        <f t="shared" ref="W44" si="110">+(SUM(J41:J44)+SUM(I45:I52))/12</f>
        <v>42528.076957741672</v>
      </c>
      <c r="X44" s="162">
        <f t="shared" ref="X44" si="111">+(SUM(K41:K44)+SUM(J45:J52))/12</f>
        <v>31095.180426420324</v>
      </c>
      <c r="Y44" s="78">
        <f t="shared" si="98"/>
        <v>-0.2688317306865704</v>
      </c>
      <c r="Z44" s="7">
        <f t="shared" si="99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95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12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13">+(SUM(I41:I45)+SUM(H46:H52))/12</f>
        <v>52371.193790783502</v>
      </c>
      <c r="W45" s="161">
        <f t="shared" ref="W45" si="114">+(SUM(J41:J45)+SUM(I46:I52))/12</f>
        <v>38919.711004827805</v>
      </c>
      <c r="X45" s="162">
        <f t="shared" ref="X45" si="115">+(SUM(K41:K45)+SUM(J46:J52))/12</f>
        <v>30587.985746405921</v>
      </c>
      <c r="Y45" s="78">
        <f t="shared" si="98"/>
        <v>-0.21407469488631026</v>
      </c>
      <c r="Z45" s="7">
        <f t="shared" si="99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95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16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17">+(SUM(I41:I46)+SUM(H47:H52))/12</f>
        <v>53059.313413025106</v>
      </c>
      <c r="W46" s="161">
        <f t="shared" ref="W46" si="118">+(SUM(J41:J46)+SUM(I47:I52))/12</f>
        <v>37101.597175074545</v>
      </c>
      <c r="X46" s="162">
        <f t="shared" ref="X46" si="119">+(SUM(K41:K46)+SUM(J47:J52))/12</f>
        <v>29518.205586209708</v>
      </c>
      <c r="Y46" s="78">
        <f t="shared" si="98"/>
        <v>-0.20439528662554407</v>
      </c>
      <c r="Z46" s="7">
        <f t="shared" si="99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" si="120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21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22">+(SUM(I41:I47)+SUM(H48:H52))/12</f>
        <v>52530.156959968161</v>
      </c>
      <c r="W47" s="161">
        <f t="shared" ref="W47" si="123">+(SUM(J41:J47)+SUM(I48:I52))/12</f>
        <v>36486.1780502482</v>
      </c>
      <c r="X47" s="162">
        <f t="shared" ref="X47" si="124">+(SUM(K41:K47)+SUM(J48:J52))/12</f>
        <v>28152.194341863196</v>
      </c>
      <c r="Y47" s="78">
        <f t="shared" si="98"/>
        <v>-0.22841481771282179</v>
      </c>
      <c r="Z47" s="7">
        <f t="shared" si="99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/>
      <c r="L48" s="7"/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25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26">+(SUM(I41:I48)+SUM(H49:H52))/12</f>
        <v>51615.457708170194</v>
      </c>
      <c r="W48" s="161">
        <f t="shared" ref="W48" si="127">+(SUM(J41:J48)+SUM(I49:I52))/12</f>
        <v>35433.35693619516</v>
      </c>
      <c r="X48" s="162"/>
      <c r="Y48" s="78"/>
      <c r="Z48" s="7"/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/>
      <c r="L49" s="7"/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28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29">+(SUM(I41:I49)+SUM(H50:H52))/12</f>
        <v>50869.663994624127</v>
      </c>
      <c r="W49" s="161">
        <f t="shared" ref="W49" si="130">+(SUM(J41:J49)+SUM(I50:I52))/12</f>
        <v>34683.926524540751</v>
      </c>
      <c r="X49" s="162"/>
      <c r="Y49" s="78"/>
      <c r="Z49" s="7"/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/>
      <c r="L50" s="7"/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31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32">+(SUM(I41:I50)+SUM(H51:H52))/12</f>
        <v>50770.88794299533</v>
      </c>
      <c r="W50" s="161">
        <f t="shared" ref="W50" si="133">+(SUM(J41:J50)+SUM(I51:I52))/12</f>
        <v>34486.91373696387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/>
      <c r="L51" s="7"/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34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35">+(SUM(I41:I51)+SUM(H52))/12</f>
        <v>51353.04448100119</v>
      </c>
      <c r="W51" s="161">
        <f t="shared" ref="W51" si="136">+(SUM(J41:J51)+SUM(I52))/12</f>
        <v>34164.879580396839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37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38">+(SUM(I41:I52))/12</f>
        <v>51518.524517397229</v>
      </c>
      <c r="W52" s="161">
        <f t="shared" ref="W52" si="139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40">AVERAGE(C41:C52)</f>
        <v>45523.603460334816</v>
      </c>
      <c r="D53" s="211">
        <f t="shared" ref="D53" si="141">AVERAGE(D41:D52)</f>
        <v>37988.052662509588</v>
      </c>
      <c r="E53" s="211">
        <f t="shared" ref="E53" si="142">AVERAGE(E41:E52)</f>
        <v>24149.870644541166</v>
      </c>
      <c r="F53" s="211">
        <f t="shared" ref="F53" si="143">AVERAGE(F41:F52)</f>
        <v>28621.110259780016</v>
      </c>
      <c r="G53" s="211">
        <f t="shared" ref="G53:I53" si="144">AVERAGE(G41:G52)</f>
        <v>50968.639947895492</v>
      </c>
      <c r="H53" s="211">
        <f t="shared" si="144"/>
        <v>49257.3342312276</v>
      </c>
      <c r="I53" s="211">
        <f t="shared" si="144"/>
        <v>51518.524517397229</v>
      </c>
      <c r="J53" s="212">
        <f t="shared" ref="J53" si="145">AVERAGE(J41:J52)</f>
        <v>33303.153001614708</v>
      </c>
      <c r="K53" s="212"/>
      <c r="L53" s="165"/>
      <c r="M53" s="3"/>
      <c r="N53" s="43" t="s">
        <v>14</v>
      </c>
      <c r="O53" s="163">
        <f t="shared" ref="O53" si="146">+AVERAGE(O41:O52)</f>
        <v>25717.421636209707</v>
      </c>
      <c r="P53" s="163">
        <f>+AVERAGE(P41:P52)</f>
        <v>38102.624955234271</v>
      </c>
      <c r="Q53" s="163">
        <f t="shared" ref="Q53:X53" si="147">+AVERAGE(Q41:Q52)</f>
        <v>43882.509390679123</v>
      </c>
      <c r="R53" s="163">
        <f t="shared" si="147"/>
        <v>29843.305509516515</v>
      </c>
      <c r="S53" s="163">
        <f t="shared" si="147"/>
        <v>24381.569143954242</v>
      </c>
      <c r="T53" s="163">
        <f t="shared" si="147"/>
        <v>42525.40782648509</v>
      </c>
      <c r="U53" s="163">
        <f t="shared" si="147"/>
        <v>51766.129933691169</v>
      </c>
      <c r="V53" s="163">
        <f t="shared" si="147"/>
        <v>50726.432908152892</v>
      </c>
      <c r="W53" s="164">
        <f t="shared" si="147"/>
        <v>39632.923640029279</v>
      </c>
      <c r="X53" s="164">
        <f t="shared" si="147"/>
        <v>31043.683724368861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48">+C53/B53-1</f>
        <v>0.57696483252708419</v>
      </c>
      <c r="D54" s="50">
        <f t="shared" si="148"/>
        <v>-0.16553063081640784</v>
      </c>
      <c r="E54" s="50">
        <f t="shared" si="148"/>
        <v>-0.36427721475771579</v>
      </c>
      <c r="F54" s="50">
        <f t="shared" si="148"/>
        <v>0.18514548922644147</v>
      </c>
      <c r="G54" s="50">
        <f t="shared" si="148"/>
        <v>0.78080582777110052</v>
      </c>
      <c r="H54" s="50">
        <f t="shared" si="148"/>
        <v>-3.3575659825675896E-2</v>
      </c>
      <c r="I54" s="50">
        <f t="shared" ref="I54:J54" si="149">+I53/H53-1</f>
        <v>4.590565692318993E-2</v>
      </c>
      <c r="J54" s="70">
        <f t="shared" si="149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50">+P53/O53-1</f>
        <v>0.48158806486208561</v>
      </c>
      <c r="Q54" s="50">
        <f t="shared" si="150"/>
        <v>0.15169255247467794</v>
      </c>
      <c r="R54" s="50">
        <f t="shared" si="150"/>
        <v>-0.31992709797367713</v>
      </c>
      <c r="S54" s="50">
        <f t="shared" ref="S54" si="151">+S53/R53-1</f>
        <v>-0.18301378725693163</v>
      </c>
      <c r="T54" s="50">
        <f t="shared" ref="T54" si="152">+T53/S53-1</f>
        <v>0.74416205845512096</v>
      </c>
      <c r="U54" s="50">
        <f t="shared" ref="U54" si="153">+U53/T53-1</f>
        <v>0.21729884743047423</v>
      </c>
      <c r="V54" s="50">
        <f t="shared" ref="V54" si="154">+V53/U53-1</f>
        <v>-2.0084503648815533E-2</v>
      </c>
      <c r="W54" s="70">
        <f t="shared" ref="W54" si="155">+W53/V53-1</f>
        <v>-0.21869287139133009</v>
      </c>
      <c r="X54" s="70">
        <f t="shared" ref="X54" si="156">+X53/W53-1</f>
        <v>-0.21671981592055145</v>
      </c>
      <c r="Y54" s="51"/>
      <c r="Z54" s="52"/>
    </row>
    <row r="55" spans="1:26" ht="15.75" thickBot="1" x14ac:dyDescent="0.3"/>
    <row r="56" spans="1:26" ht="15.75" thickBot="1" x14ac:dyDescent="0.3">
      <c r="A56" s="351" t="s">
        <v>294</v>
      </c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3"/>
      <c r="M56" s="2"/>
      <c r="N56" s="351" t="s">
        <v>288</v>
      </c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3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57">+C57+1</f>
        <v>2018</v>
      </c>
      <c r="E57" s="39">
        <f t="shared" si="157"/>
        <v>2019</v>
      </c>
      <c r="F57" s="39">
        <f t="shared" si="157"/>
        <v>2020</v>
      </c>
      <c r="G57" s="39">
        <f t="shared" si="157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58">+P57+1</f>
        <v>2018</v>
      </c>
      <c r="R57" s="64">
        <f t="shared" si="158"/>
        <v>2019</v>
      </c>
      <c r="S57" s="64">
        <f t="shared" ref="S57" si="159">+R57+1</f>
        <v>2020</v>
      </c>
      <c r="T57" s="64">
        <f t="shared" ref="T57" si="160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61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62">+(SUM(D58)+SUM(C59:C69))/12</f>
        <v>65021.516917952285</v>
      </c>
      <c r="R58" s="160">
        <f t="shared" ref="R58:X58" si="163">+(SUM(E58)+SUM(D59:D69))/12</f>
        <v>47526.296710966963</v>
      </c>
      <c r="S58" s="160">
        <f t="shared" si="163"/>
        <v>26603.071054233194</v>
      </c>
      <c r="T58" s="160">
        <f t="shared" si="163"/>
        <v>31983.69138052336</v>
      </c>
      <c r="U58" s="160">
        <f t="shared" si="163"/>
        <v>56819.804331349013</v>
      </c>
      <c r="V58" s="160">
        <f t="shared" si="163"/>
        <v>56721.806989302357</v>
      </c>
      <c r="W58" s="161">
        <f t="shared" si="163"/>
        <v>60196.009362196804</v>
      </c>
      <c r="X58" s="162">
        <f t="shared" si="163"/>
        <v>43819.018435025326</v>
      </c>
      <c r="Y58" s="78">
        <f t="shared" ref="Y58:Y64" si="164">+X58/W58-1</f>
        <v>-0.27206107349462039</v>
      </c>
      <c r="Z58" s="7">
        <f t="shared" ref="Z58:Z64" si="165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61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66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67">+(SUM(I58:I59)+SUM(H60:H69))/12</f>
        <v>56759.568161502706</v>
      </c>
      <c r="W59" s="161">
        <f t="shared" ref="W59" si="168">+(SUM(J58:J59)+SUM(I60:I69))/12</f>
        <v>59873.962738997485</v>
      </c>
      <c r="X59" s="162">
        <f t="shared" ref="X59" si="169">+(SUM(K58:K59)+SUM(J60:J69))/12</f>
        <v>42789.066121318836</v>
      </c>
      <c r="Y59" s="78">
        <f t="shared" si="164"/>
        <v>-0.28534768430402901</v>
      </c>
      <c r="Z59" s="7">
        <f t="shared" si="165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61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70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71">+(SUM(I58:I60)+SUM(H61:H69))/12</f>
        <v>58549.239049099306</v>
      </c>
      <c r="W60" s="161">
        <f t="shared" ref="W60" si="172">+(SUM(J58:J60)+SUM(I61:I69))/12</f>
        <v>57113.183660225557</v>
      </c>
      <c r="X60" s="162">
        <f t="shared" ref="X60" si="173">+(SUM(K58:K60)+SUM(J61:J69))/12</f>
        <v>41623.952382937685</v>
      </c>
      <c r="Y60" s="78">
        <f t="shared" si="164"/>
        <v>-0.27120237893645549</v>
      </c>
      <c r="Z60" s="7">
        <f t="shared" si="165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61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74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75">+(SUM(I58:I61)+SUM(H62:H69))/12</f>
        <v>60645.76708509036</v>
      </c>
      <c r="W61" s="161">
        <f t="shared" ref="W61" si="176">+(SUM(J58:J61)+SUM(I62:I69))/12</f>
        <v>52883.850941120123</v>
      </c>
      <c r="X61" s="162">
        <f t="shared" ref="X61" si="177">+(SUM(K58:K61)+SUM(J62:J69))/12</f>
        <v>40370.289530098213</v>
      </c>
      <c r="Y61" s="78">
        <f t="shared" si="164"/>
        <v>-0.23662349069386557</v>
      </c>
      <c r="Z61" s="7">
        <f t="shared" si="165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61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178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179">+(SUM(I58:I62)+SUM(H63:H69))/12</f>
        <v>61314.966795273591</v>
      </c>
      <c r="W62" s="161">
        <f t="shared" ref="W62" si="180">+(SUM(J58:J62)+SUM(I63:I69))/12</f>
        <v>50314.694833792259</v>
      </c>
      <c r="X62" s="162">
        <f t="shared" ref="X62" si="181">+(SUM(K58:K62)+SUM(J63:J69))/12</f>
        <v>39293.02655615066</v>
      </c>
      <c r="Y62" s="78">
        <f t="shared" si="164"/>
        <v>-0.21905465816796021</v>
      </c>
      <c r="Z62" s="7">
        <f t="shared" si="165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61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182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183">+(SUM(I58:I63)+SUM(H64:H69))/12</f>
        <v>61698.40023703481</v>
      </c>
      <c r="W63" s="161">
        <f t="shared" ref="W63" si="184">+(SUM(J58:J63)+SUM(I64:I69))/12</f>
        <v>49737.052328404265</v>
      </c>
      <c r="X63" s="162">
        <f t="shared" ref="X63" si="185">+(SUM(K58:K63)+SUM(J64:J69))/12</f>
        <v>37538.525954948382</v>
      </c>
      <c r="Y63" s="78">
        <f t="shared" si="164"/>
        <v>-0.24526034017680298</v>
      </c>
      <c r="Z63" s="7">
        <f t="shared" si="165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" si="186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187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188">+(SUM(I58:I64)+SUM(H65:H69))/12</f>
        <v>61775.416634801775</v>
      </c>
      <c r="W64" s="161">
        <f t="shared" ref="W64" si="189">+(SUM(J58:J64)+SUM(I65:I69))/12</f>
        <v>48153.353034025524</v>
      </c>
      <c r="X64" s="162">
        <f t="shared" ref="X64" si="190">+(SUM(K58:K64)+SUM(J65:J69))/12</f>
        <v>35845.733162288387</v>
      </c>
      <c r="Y64" s="78">
        <f t="shared" si="164"/>
        <v>-0.25559216744554591</v>
      </c>
      <c r="Z64" s="7">
        <f t="shared" si="165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/>
      <c r="L65" s="7"/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191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192">+(SUM(I58:I65)+SUM(H66:H69))/12</f>
        <v>61756.345117119869</v>
      </c>
      <c r="W65" s="161">
        <f t="shared" ref="W65" si="193">+(SUM(J58:J65)+SUM(I66:I69))/12</f>
        <v>47156.923474231036</v>
      </c>
      <c r="X65" s="162"/>
      <c r="Y65" s="78"/>
      <c r="Z65" s="7"/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/>
      <c r="L66" s="7"/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194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195">+(SUM(I58:I66)+SUM(H67:H69))/12</f>
        <v>62039.363371151907</v>
      </c>
      <c r="W66" s="161">
        <f t="shared" ref="W66" si="196">+(SUM(J58:J66)+SUM(I67:I69))/12</f>
        <v>45567.524111454317</v>
      </c>
      <c r="X66" s="162"/>
      <c r="Y66" s="78"/>
      <c r="Z66" s="7"/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/>
      <c r="L67" s="7"/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197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198">+(SUM(I58:I67)+SUM(H68:H69))/12</f>
        <v>62417.982517975099</v>
      </c>
      <c r="W67" s="161">
        <f t="shared" ref="W67" si="199">+(SUM(J58:J67)+SUM(I68:I69))/12</f>
        <v>45218.174449422986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/>
      <c r="L68" s="7"/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00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01">+(SUM(I58:I68)+SUM(H69))/12</f>
        <v>61370.447923045198</v>
      </c>
      <c r="W68" s="161">
        <f t="shared" ref="W68" si="202">+(SUM(J58:J68)+SUM(I69))/12</f>
        <v>45033.227750175698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03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04">+(SUM(I58:I69))/12</f>
        <v>61107.170039342054</v>
      </c>
      <c r="W69" s="161">
        <f t="shared" ref="W69" si="205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06">AVERAGE(C58:C69)</f>
        <v>65427.875077429235</v>
      </c>
      <c r="D70" s="211">
        <f t="shared" si="206"/>
        <v>49412.288066866669</v>
      </c>
      <c r="E70" s="211">
        <f t="shared" si="206"/>
        <v>27610.940012686569</v>
      </c>
      <c r="F70" s="211">
        <f t="shared" si="206"/>
        <v>30216.659870936273</v>
      </c>
      <c r="G70" s="211">
        <f t="shared" si="206"/>
        <v>55311.30030395728</v>
      </c>
      <c r="H70" s="211">
        <f t="shared" si="206"/>
        <v>57580.266593958055</v>
      </c>
      <c r="I70" s="211">
        <f t="shared" si="206"/>
        <v>61107.170039342054</v>
      </c>
      <c r="J70" s="212">
        <f t="shared" ref="J70" si="207">AVERAGE(J58:J69)</f>
        <v>44462.986737618463</v>
      </c>
      <c r="K70" s="212"/>
      <c r="L70" s="165"/>
      <c r="M70" s="3"/>
      <c r="N70" s="43" t="s">
        <v>14</v>
      </c>
      <c r="O70" s="163">
        <f t="shared" ref="O70" si="208">+AVERAGE(O58:O69)</f>
        <v>39150.758064923029</v>
      </c>
      <c r="P70" s="163">
        <f>+AVERAGE(P58:P69)</f>
        <v>60968.755821644598</v>
      </c>
      <c r="Q70" s="163">
        <f t="shared" ref="Q70:X70" si="209">+AVERAGE(Q58:Q69)</f>
        <v>59218.348629965716</v>
      </c>
      <c r="R70" s="163">
        <f t="shared" si="209"/>
        <v>36078.595858180255</v>
      </c>
      <c r="S70" s="163">
        <f t="shared" si="209"/>
        <v>26611.991019429774</v>
      </c>
      <c r="T70" s="163">
        <f t="shared" si="209"/>
        <v>45337.982431512763</v>
      </c>
      <c r="U70" s="163">
        <f t="shared" si="209"/>
        <v>57711.092297591116</v>
      </c>
      <c r="V70" s="163">
        <f t="shared" si="209"/>
        <v>60513.039493394921</v>
      </c>
      <c r="W70" s="164">
        <f t="shared" si="209"/>
        <v>50475.911951805378</v>
      </c>
      <c r="X70" s="164">
        <f t="shared" si="209"/>
        <v>40182.801734681074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10">+C70/B70-1</f>
        <v>0.32013200500969763</v>
      </c>
      <c r="D71" s="50">
        <f t="shared" si="210"/>
        <v>-0.24478231933421735</v>
      </c>
      <c r="E71" s="50">
        <f t="shared" si="210"/>
        <v>-0.44121308498561429</v>
      </c>
      <c r="F71" s="50">
        <f t="shared" si="210"/>
        <v>9.4372732585433106E-2</v>
      </c>
      <c r="G71" s="50">
        <f t="shared" si="210"/>
        <v>0.83049021765500131</v>
      </c>
      <c r="H71" s="50">
        <f t="shared" si="210"/>
        <v>4.1021749218187242E-2</v>
      </c>
      <c r="I71" s="50">
        <f t="shared" ref="I71:J71" si="211">+I70/H70-1</f>
        <v>6.1251947134160822E-2</v>
      </c>
      <c r="J71" s="70">
        <f t="shared" si="211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12">+P70/O70-1</f>
        <v>0.55728161688571021</v>
      </c>
      <c r="Q71" s="50">
        <f t="shared" si="212"/>
        <v>-2.8709905066776287E-2</v>
      </c>
      <c r="R71" s="50">
        <f t="shared" si="212"/>
        <v>-0.39075309101200206</v>
      </c>
      <c r="S71" s="50">
        <f t="shared" si="212"/>
        <v>-0.26238839438104344</v>
      </c>
      <c r="T71" s="50">
        <f t="shared" si="212"/>
        <v>0.70366743316615765</v>
      </c>
      <c r="U71" s="50">
        <f t="shared" si="212"/>
        <v>0.27290825931147444</v>
      </c>
      <c r="V71" s="50">
        <f t="shared" si="212"/>
        <v>4.8551276440157665E-2</v>
      </c>
      <c r="W71" s="70">
        <f t="shared" ref="W71" si="213">+W70/V70-1</f>
        <v>-0.16586718541356871</v>
      </c>
      <c r="X71" s="70">
        <f t="shared" ref="X71" si="214">+X70/W70-1</f>
        <v>-0.20392123329940448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15">+C74+1</f>
        <v>2018</v>
      </c>
      <c r="E74" s="82">
        <f t="shared" si="215"/>
        <v>2019</v>
      </c>
      <c r="F74" s="82">
        <f t="shared" si="215"/>
        <v>2020</v>
      </c>
      <c r="G74" s="82">
        <f t="shared" si="215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16">+P74+1</f>
        <v>2018</v>
      </c>
      <c r="R74" s="82">
        <f t="shared" si="216"/>
        <v>2019</v>
      </c>
      <c r="S74" s="82">
        <f t="shared" si="216"/>
        <v>2020</v>
      </c>
      <c r="T74" s="82">
        <f t="shared" si="216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1" si="217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18">+(SUM(D75)+SUM(C76:C86))/12</f>
        <v>93345.169560543305</v>
      </c>
      <c r="R75" s="160">
        <f t="shared" ref="R75" si="219">+(SUM(E75)+SUM(D76:D86))/12</f>
        <v>60558.066861541884</v>
      </c>
      <c r="S75" s="160">
        <f t="shared" ref="S75" si="220">+(SUM(F75)+SUM(E76:E86))/12</f>
        <v>34892.659257460698</v>
      </c>
      <c r="T75" s="160">
        <f t="shared" ref="T75" si="221">+(SUM(G75)+SUM(F76:F86))/12</f>
        <v>39963.216513585874</v>
      </c>
      <c r="U75" s="160">
        <f t="shared" ref="U75" si="222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1" si="223">+X75/W75-1</f>
        <v>-0.29413868134032783</v>
      </c>
      <c r="Z75" s="113">
        <f t="shared" ref="Z75:Z81" si="224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17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25">+(SUM(D75:D76)+SUM(C77:C86))/12</f>
        <v>91593.146015198145</v>
      </c>
      <c r="R76" s="160">
        <f t="shared" ref="R76" si="226">+(SUM(E75:E76)+SUM(D77:D86))/12</f>
        <v>57735.520799865779</v>
      </c>
      <c r="S76" s="160">
        <f t="shared" ref="S76" si="227">+(SUM(F75:F76)+SUM(E77:E86))/12</f>
        <v>33775.20742512092</v>
      </c>
      <c r="T76" s="160">
        <f t="shared" ref="T76" si="228">+(SUM(G75:G76)+SUM(F77:F86))/12</f>
        <v>41422.977538164931</v>
      </c>
      <c r="U76" s="160">
        <f t="shared" ref="U76" si="229">+(SUM(H75:H76)+SUM(G77:G86))/12</f>
        <v>66231.950206197595</v>
      </c>
      <c r="V76" s="160">
        <f t="shared" ref="V76" si="230">+(SUM(I75:I76)+SUM(H77:H86))/12</f>
        <v>82008.35118548102</v>
      </c>
      <c r="W76" s="167">
        <f t="shared" ref="W76" si="231">+(SUM(J75:J76)+SUM(I77:I86))/12</f>
        <v>84065.051005343921</v>
      </c>
      <c r="X76" s="168">
        <f t="shared" ref="X76" si="232">+(SUM(K75:K76)+SUM(J77:J86))/12</f>
        <v>59514.868993589218</v>
      </c>
      <c r="Y76" s="117">
        <f t="shared" si="223"/>
        <v>-0.29203791252317302</v>
      </c>
      <c r="Z76" s="113">
        <f t="shared" si="224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17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33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34">+(SUM(I75:I77)+SUM(H78:H86))/12</f>
        <v>83841.710565398549</v>
      </c>
      <c r="W77" s="167">
        <f t="shared" ref="W77" si="235">+(SUM(J75:J77)+SUM(I78:I86))/12</f>
        <v>82649.797710523431</v>
      </c>
      <c r="X77" s="168">
        <f t="shared" ref="X77" si="236">+(SUM(K75:K77)+SUM(J78:J86))/12</f>
        <v>57206.048076197847</v>
      </c>
      <c r="Y77" s="117">
        <f t="shared" si="223"/>
        <v>-0.30785011384348426</v>
      </c>
      <c r="Z77" s="113">
        <f t="shared" si="224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17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37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38">+(SUM(I75:I78)+SUM(H79:H86))/12</f>
        <v>86294.868866754157</v>
      </c>
      <c r="W78" s="167">
        <f t="shared" ref="W78" si="239">+(SUM(J75:J78)+SUM(I79:I86))/12</f>
        <v>78829.296414172321</v>
      </c>
      <c r="X78" s="168">
        <f t="shared" ref="X78" si="240">+(SUM(K75:K78)+SUM(J79:J86))/12</f>
        <v>55311.955050527264</v>
      </c>
      <c r="Y78" s="117">
        <f t="shared" si="223"/>
        <v>-0.29833250369360131</v>
      </c>
      <c r="Z78" s="113">
        <f t="shared" si="224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17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41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42">+(SUM(I75:I79)+SUM(H80:H86))/12</f>
        <v>87881.235276884385</v>
      </c>
      <c r="W79" s="167">
        <f t="shared" ref="W79" si="243">+(SUM(J75:J79)+SUM(I80:I86))/12</f>
        <v>76569.813189753666</v>
      </c>
      <c r="X79" s="168">
        <f t="shared" ref="X79" si="244">+(SUM(K75:K79)+SUM(J80:J86))/12</f>
        <v>53604.520267807929</v>
      </c>
      <c r="Y79" s="117">
        <f t="shared" si="223"/>
        <v>-0.29992619761306771</v>
      </c>
      <c r="Z79" s="113">
        <f t="shared" si="224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17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45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46">+(SUM(I75:I80)+SUM(H81:H86))/12</f>
        <v>88104.542450809633</v>
      </c>
      <c r="W80" s="161">
        <f t="shared" ref="W80" si="247">+(SUM(J75:J80)+SUM(I81:I86))/12</f>
        <v>74913.044310386453</v>
      </c>
      <c r="X80" s="162">
        <f t="shared" ref="X80" si="248">+(SUM(K75:K80)+SUM(J81:J86))/12</f>
        <v>51479.556517923447</v>
      </c>
      <c r="Y80" s="78">
        <f t="shared" si="223"/>
        <v>-0.31280917773640693</v>
      </c>
      <c r="Z80" s="7">
        <f t="shared" si="224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17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49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50">+(SUM(I75:I81)+SUM(H82:H86))/12</f>
        <v>89317.819183328698</v>
      </c>
      <c r="W81" s="167">
        <f t="shared" ref="W81" si="251">+(SUM(J75:J81)+SUM(I82:I86))/12</f>
        <v>72367.41724207002</v>
      </c>
      <c r="X81" s="168">
        <f t="shared" ref="X81" si="252">+(SUM(K75:K81)+SUM(J82:J86))/12</f>
        <v>50012.395096028224</v>
      </c>
      <c r="Y81" s="117">
        <f t="shared" si="223"/>
        <v>-0.30891004540432798</v>
      </c>
      <c r="Z81" s="113">
        <f t="shared" si="224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/>
      <c r="L82" s="91"/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53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54">+(SUM(I75:I82)+SUM(H83:H86))/12</f>
        <v>89522.739805696372</v>
      </c>
      <c r="W82" s="167">
        <f t="shared" ref="W82" si="255">+(SUM(J75:J82)+SUM(I83:I86))/12</f>
        <v>70539.091561054825</v>
      </c>
      <c r="X82" s="168"/>
      <c r="Y82" s="117"/>
      <c r="Z82" s="113"/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/>
      <c r="L83" s="91"/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56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57">+(SUM(I75:I83)+SUM(H84:H86))/12</f>
        <v>90178.481420438402</v>
      </c>
      <c r="W83" s="167">
        <f t="shared" ref="W83" si="258">+(SUM(J75:J83)+SUM(I84:I86))/12</f>
        <v>68341.384949551473</v>
      </c>
      <c r="X83" s="168"/>
      <c r="Y83" s="117"/>
      <c r="Z83" s="113"/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/>
      <c r="L84" s="91"/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59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60">+(SUM(I75:I84)+SUM(H85:H86))/12</f>
        <v>90214.089420707503</v>
      </c>
      <c r="W84" s="167">
        <f t="shared" ref="W84" si="261">+(SUM(J75:J84)+SUM(I85:I86))/12</f>
        <v>66941.81329882842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/>
      <c r="L85" s="91"/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62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63">+(SUM(I75:I85)+SUM(H86))/12</f>
        <v>90081.14743340842</v>
      </c>
      <c r="W85" s="167">
        <f t="shared" ref="W85" si="264">+(SUM(J75:J85)+SUM(I86))/12</f>
        <v>65123.878776592697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65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66">+(SUM(I75:I86))/12</f>
        <v>88442.154012655155</v>
      </c>
      <c r="W86" s="167">
        <f t="shared" ref="W86" si="267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68">AVERAGE(C75:C86)</f>
        <v>94796.503462142791</v>
      </c>
      <c r="D87" s="170">
        <f t="shared" si="268"/>
        <v>63579.936078363746</v>
      </c>
      <c r="E87" s="170">
        <f t="shared" si="268"/>
        <v>36462.575790261493</v>
      </c>
      <c r="F87" s="170">
        <f t="shared" si="268"/>
        <v>38151.049913339069</v>
      </c>
      <c r="G87" s="170">
        <f t="shared" si="268"/>
        <v>63663.586111365854</v>
      </c>
      <c r="H87" s="170">
        <f t="shared" si="268"/>
        <v>76200.770496983183</v>
      </c>
      <c r="I87" s="170">
        <f t="shared" ref="I87:J87" si="269">AVERAGE(I75:I86)</f>
        <v>88442.154012655155</v>
      </c>
      <c r="J87" s="170">
        <f t="shared" si="269"/>
        <v>63370.182577382446</v>
      </c>
      <c r="K87" s="169"/>
      <c r="L87" s="174"/>
      <c r="M87" s="3"/>
      <c r="N87" s="92" t="s">
        <v>14</v>
      </c>
      <c r="O87" s="169">
        <f t="shared" ref="O87" si="270">+AVERAGE(O75:O86)</f>
        <v>50534.27649048483</v>
      </c>
      <c r="P87" s="170">
        <f>+AVERAGE(P75:P86)</f>
        <v>89209.801547767012</v>
      </c>
      <c r="Q87" s="170">
        <f t="shared" ref="Q87:X87" si="271">+AVERAGE(Q75:Q86)</f>
        <v>80846.755675092834</v>
      </c>
      <c r="R87" s="170">
        <f t="shared" si="271"/>
        <v>46864.426769974438</v>
      </c>
      <c r="S87" s="170">
        <f t="shared" si="271"/>
        <v>34668.339633263058</v>
      </c>
      <c r="T87" s="170">
        <f t="shared" si="271"/>
        <v>53180.09779871162</v>
      </c>
      <c r="U87" s="170">
        <f t="shared" si="271"/>
        <v>69558.409531493104</v>
      </c>
      <c r="V87" s="170">
        <f t="shared" si="271"/>
        <v>87058.855567512859</v>
      </c>
      <c r="W87" s="171">
        <f t="shared" si="271"/>
        <v>74212.072409761866</v>
      </c>
      <c r="X87" s="172">
        <f t="shared" si="271"/>
        <v>55488.882119617199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272">+C87/B87-1</f>
        <v>0.36185316701935166</v>
      </c>
      <c r="D88" s="85">
        <f t="shared" si="272"/>
        <v>-0.32930083118778164</v>
      </c>
      <c r="E88" s="85">
        <f t="shared" si="272"/>
        <v>-0.42650814015728922</v>
      </c>
      <c r="F88" s="85">
        <f t="shared" si="272"/>
        <v>4.6307044592514446E-2</v>
      </c>
      <c r="G88" s="85">
        <f t="shared" si="272"/>
        <v>0.66872435374594041</v>
      </c>
      <c r="H88" s="85">
        <f t="shared" si="272"/>
        <v>0.1969286550036029</v>
      </c>
      <c r="I88" s="85">
        <f t="shared" si="272"/>
        <v>0.16064645325543814</v>
      </c>
      <c r="J88" s="85">
        <f t="shared" si="272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273">+P87/O87-1</f>
        <v>0.76533251771328814</v>
      </c>
      <c r="Q88" s="85">
        <f t="shared" si="273"/>
        <v>-9.3745818593669039E-2</v>
      </c>
      <c r="R88" s="85">
        <f t="shared" si="273"/>
        <v>-0.42033014956947279</v>
      </c>
      <c r="S88" s="85">
        <f t="shared" si="273"/>
        <v>-0.26024189299431033</v>
      </c>
      <c r="T88" s="85">
        <f t="shared" si="273"/>
        <v>0.5339672554634598</v>
      </c>
      <c r="U88" s="85">
        <f t="shared" si="273"/>
        <v>0.30797821761768707</v>
      </c>
      <c r="V88" s="85">
        <f t="shared" si="273"/>
        <v>0.25159353346192148</v>
      </c>
      <c r="W88" s="111">
        <f t="shared" ref="W88" si="274">+W87/V87-1</f>
        <v>-0.1475643468318798</v>
      </c>
      <c r="X88" s="100">
        <f t="shared" ref="X88" si="275">+X87/W87-1</f>
        <v>-0.25229305262848067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76">+C91+1</f>
        <v>2018</v>
      </c>
      <c r="E91" s="82">
        <f t="shared" si="276"/>
        <v>2019</v>
      </c>
      <c r="F91" s="82">
        <f t="shared" si="276"/>
        <v>2020</v>
      </c>
      <c r="G91" s="82">
        <f t="shared" si="276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77">+P91+1</f>
        <v>2018</v>
      </c>
      <c r="R91" s="82">
        <f t="shared" si="277"/>
        <v>2019</v>
      </c>
      <c r="S91" s="82">
        <f t="shared" si="277"/>
        <v>2020</v>
      </c>
      <c r="T91" s="82">
        <f t="shared" ref="T91" si="278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98" si="279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280">+(SUM(D92)+SUM(C93:C103))/12</f>
        <v>51476.77056283244</v>
      </c>
      <c r="R92" s="160">
        <f t="shared" ref="R92" si="281">+(SUM(E92)+SUM(D93:D103))/12</f>
        <v>44641.171253325658</v>
      </c>
      <c r="S92" s="160">
        <f t="shared" ref="S92" si="282">+(SUM(F92)+SUM(E93:E103))/12</f>
        <v>23936.66087132286</v>
      </c>
      <c r="T92" s="160">
        <f t="shared" ref="T92" si="283">+(SUM(G92)+SUM(F93:F103))/12</f>
        <v>35767.976111528318</v>
      </c>
      <c r="U92" s="160">
        <f t="shared" ref="U92" si="284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98" si="285">+X92/W92-1</f>
        <v>-0.2432940610528036</v>
      </c>
      <c r="Z92" s="113">
        <f t="shared" ref="Z92:Z98" si="286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279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287">+(SUM(D92:D93)+SUM(C94:C103))/12</f>
        <v>53041.658257863251</v>
      </c>
      <c r="R93" s="160">
        <f t="shared" ref="R93" si="288">+(SUM(E92:E93)+SUM(D94:D103))/12</f>
        <v>42157.030526294118</v>
      </c>
      <c r="S93" s="160">
        <f t="shared" ref="S93" si="289">+(SUM(F92:F93)+SUM(E94:E103))/12</f>
        <v>23879.831738290344</v>
      </c>
      <c r="T93" s="160">
        <f t="shared" ref="T93" si="290">+(SUM(G92:G93)+SUM(F94:F103))/12</f>
        <v>37771.072378876714</v>
      </c>
      <c r="U93" s="160">
        <f t="shared" ref="U93" si="291">+(SUM(H92:H93)+SUM(G94:G103))/12</f>
        <v>55892.166758132364</v>
      </c>
      <c r="V93" s="160">
        <f t="shared" ref="V93" si="292">+(SUM(I92:I93)+SUM(H94:H103))/12</f>
        <v>67598.979679264477</v>
      </c>
      <c r="W93" s="167">
        <f t="shared" ref="W93" si="293">+(SUM(J92:J93)+SUM(I94:I103))/12</f>
        <v>63510.625910551018</v>
      </c>
      <c r="X93" s="168">
        <f t="shared" ref="X93" si="294">+(SUM(K92:K93)+SUM(J94:J103))/12</f>
        <v>46658.703638515435</v>
      </c>
      <c r="Y93" s="117">
        <f t="shared" si="285"/>
        <v>-0.26534020142975745</v>
      </c>
      <c r="Z93" s="113">
        <f t="shared" si="286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279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295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296">+(SUM(I92:I94)+SUM(H95:H103))/12</f>
        <v>67519.44266198526</v>
      </c>
      <c r="W94" s="167">
        <f t="shared" ref="W94" si="297">+(SUM(J92:J94)+SUM(I95:I103))/12</f>
        <v>63747.80653268539</v>
      </c>
      <c r="X94" s="168">
        <f t="shared" ref="X94" si="298">+(SUM(K92:K94)+SUM(J95:J103))/12</f>
        <v>43189.703947012014</v>
      </c>
      <c r="Y94" s="117">
        <f t="shared" si="285"/>
        <v>-0.32249113661867923</v>
      </c>
      <c r="Z94" s="113">
        <f t="shared" si="286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279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299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00">+(SUM(I92:I95)+SUM(H96:H103))/12</f>
        <v>66671.373046640438</v>
      </c>
      <c r="W95" s="167">
        <f t="shared" ref="W95" si="301">+(SUM(J92:J95)+SUM(I96:I103))/12</f>
        <v>62745.998398332711</v>
      </c>
      <c r="X95" s="168">
        <f t="shared" ref="X95" si="302">+(SUM(K92:K95)+SUM(J96:J103))/12</f>
        <v>40029.860687253728</v>
      </c>
      <c r="Y95" s="117">
        <f t="shared" si="285"/>
        <v>-0.36203324978382367</v>
      </c>
      <c r="Z95" s="113">
        <f t="shared" si="286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279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03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04">+(SUM(I92:I96)+SUM(H97:H103))/12</f>
        <v>67235.730137895298</v>
      </c>
      <c r="W96" s="167">
        <f t="shared" ref="W96" si="305">+(SUM(J92:J96)+SUM(I97:I103))/12</f>
        <v>58488.630855900446</v>
      </c>
      <c r="X96" s="168">
        <f t="shared" ref="X96" si="306">+(SUM(K92:K96)+SUM(J97:J103))/12</f>
        <v>39587.416713848288</v>
      </c>
      <c r="Y96" s="117">
        <f t="shared" si="285"/>
        <v>-0.32316048205367365</v>
      </c>
      <c r="Z96" s="113">
        <f t="shared" si="286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279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07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08">+(SUM(I92:I97)+SUM(H98:H103))/12</f>
        <v>67509.956007848072</v>
      </c>
      <c r="W97" s="161">
        <f t="shared" ref="W97" si="309">+(SUM(J92:J97)+SUM(I98:I103))/12</f>
        <v>56115.594695711879</v>
      </c>
      <c r="X97" s="162">
        <f t="shared" ref="X97" si="310">+(SUM(K92:K97)+SUM(J98:J103))/12</f>
        <v>38596.707972334647</v>
      </c>
      <c r="Y97" s="78">
        <f t="shared" si="285"/>
        <v>-0.31219283727409119</v>
      </c>
      <c r="Z97" s="7">
        <f t="shared" si="286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279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11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12">+(SUM(I92:I98)+SUM(H99:H103))/12</f>
        <v>67565.205996044795</v>
      </c>
      <c r="W98" s="167">
        <f t="shared" ref="W98" si="313">+(SUM(J92:J98)+SUM(I99:I103))/12</f>
        <v>54604.875970184359</v>
      </c>
      <c r="X98" s="168">
        <f t="shared" ref="X98" si="314">+(SUM(K92:K98)+SUM(J99:J103))/12</f>
        <v>36584.542457665862</v>
      </c>
      <c r="Y98" s="117">
        <f t="shared" si="285"/>
        <v>-0.33001326699026023</v>
      </c>
      <c r="Z98" s="113">
        <f t="shared" si="286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/>
      <c r="L99" s="91"/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15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16">+(SUM(I92:I99)+SUM(H100:H103))/12</f>
        <v>68121.092192959171</v>
      </c>
      <c r="W99" s="167">
        <f t="shared" ref="W99" si="317">+(SUM(J92:J99)+SUM(I100:I103))/12</f>
        <v>53151.23388547526</v>
      </c>
      <c r="X99" s="168"/>
      <c r="Y99" s="117"/>
      <c r="Z99" s="113"/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/>
      <c r="L100" s="91"/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18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19">+(SUM(I92:I100)+SUM(H101:H103))/12</f>
        <v>67718.234067381592</v>
      </c>
      <c r="W100" s="167">
        <f t="shared" ref="W100" si="320">+(SUM(J92:J100)+SUM(I101:I103))/12</f>
        <v>51668.265471039274</v>
      </c>
      <c r="X100" s="168"/>
      <c r="Y100" s="117"/>
      <c r="Z100" s="113"/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/>
      <c r="L101" s="91"/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21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22">+(SUM(I92:I101)+SUM(H102:H103))/12</f>
        <v>66283.810132044091</v>
      </c>
      <c r="W101" s="167">
        <f t="shared" ref="W101" si="323">+(SUM(J92:J101)+SUM(I102:I103))/12</f>
        <v>51192.790190596083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/>
      <c r="L102" s="91"/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24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25">+(SUM(I92:I102)+SUM(H103))/12</f>
        <v>65634.990112652318</v>
      </c>
      <c r="W102" s="167">
        <f t="shared" ref="W102" si="326">+(SUM(J92:J102)+SUM(I103))/12</f>
        <v>50398.557286735682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27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28">+(SUM(I92:I103))/12</f>
        <v>65201.755883405101</v>
      </c>
      <c r="W103" s="167">
        <f t="shared" ref="W103" si="329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30">AVERAGE(C92:C103)</f>
        <v>51476.736710155725</v>
      </c>
      <c r="D104" s="170">
        <f t="shared" si="330"/>
        <v>47332.789907186845</v>
      </c>
      <c r="E104" s="170">
        <f t="shared" si="330"/>
        <v>24301.811439568497</v>
      </c>
      <c r="F104" s="170">
        <f t="shared" si="330"/>
        <v>33425.000643134794</v>
      </c>
      <c r="G104" s="170">
        <f t="shared" si="330"/>
        <v>52875.197370878079</v>
      </c>
      <c r="H104" s="170">
        <f t="shared" si="330"/>
        <v>68471.507278043355</v>
      </c>
      <c r="I104" s="170">
        <f t="shared" si="330"/>
        <v>65201.755883405101</v>
      </c>
      <c r="J104" s="170">
        <f t="shared" ref="J104" si="331">AVERAGE(J92:J103)</f>
        <v>48421.028301380044</v>
      </c>
      <c r="K104" s="169"/>
      <c r="L104" s="174"/>
      <c r="M104" s="3"/>
      <c r="N104" s="92" t="s">
        <v>14</v>
      </c>
      <c r="O104" s="169">
        <f t="shared" ref="O104" si="332">+AVERAGE(O92:O103)</f>
        <v>31139.712352119765</v>
      </c>
      <c r="P104" s="170">
        <f>+AVERAGE(P92:P103)</f>
        <v>47834.70253108989</v>
      </c>
      <c r="Q104" s="170">
        <f t="shared" ref="Q104:X104" si="333">+AVERAGE(Q92:Q103)</f>
        <v>52500.754072345859</v>
      </c>
      <c r="R104" s="170">
        <f t="shared" si="333"/>
        <v>32888.583132462758</v>
      </c>
      <c r="S104" s="170">
        <f t="shared" si="333"/>
        <v>27519.635365405225</v>
      </c>
      <c r="T104" s="170">
        <f t="shared" si="333"/>
        <v>45816.190886139717</v>
      </c>
      <c r="U104" s="170">
        <f t="shared" si="333"/>
        <v>62095.72638221641</v>
      </c>
      <c r="V104" s="170">
        <f t="shared" si="333"/>
        <v>67101.785512989925</v>
      </c>
      <c r="W104" s="171">
        <f t="shared" si="333"/>
        <v>56481.274735059909</v>
      </c>
      <c r="X104" s="172">
        <f t="shared" si="333"/>
        <v>41838.817307875841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34">+C104/B104-1</f>
        <v>0.27072305457808077</v>
      </c>
      <c r="D105" s="85">
        <f t="shared" si="334"/>
        <v>-8.0501350081722101E-2</v>
      </c>
      <c r="E105" s="85">
        <f t="shared" si="334"/>
        <v>-0.48657555391894203</v>
      </c>
      <c r="F105" s="85">
        <f t="shared" si="334"/>
        <v>0.37541189990108359</v>
      </c>
      <c r="G105" s="85">
        <f t="shared" si="334"/>
        <v>0.58190565006730033</v>
      </c>
      <c r="H105" s="85">
        <f t="shared" si="334"/>
        <v>0.29496457096451834</v>
      </c>
      <c r="I105" s="85">
        <f t="shared" ref="I105:J105" si="335">+I104/H104-1</f>
        <v>-4.7753460156218286E-2</v>
      </c>
      <c r="J105" s="85">
        <f t="shared" si="335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36">+P104/O104-1</f>
        <v>0.53613180462900623</v>
      </c>
      <c r="Q105" s="85">
        <f t="shared" si="336"/>
        <v>9.7545323674236295E-2</v>
      </c>
      <c r="R105" s="85">
        <f t="shared" si="336"/>
        <v>-0.37355979521470484</v>
      </c>
      <c r="S105" s="85">
        <f t="shared" si="336"/>
        <v>-0.16324655110356823</v>
      </c>
      <c r="T105" s="85">
        <f t="shared" si="336"/>
        <v>0.66485457666110603</v>
      </c>
      <c r="U105" s="85">
        <f t="shared" si="336"/>
        <v>0.35532276213301639</v>
      </c>
      <c r="V105" s="85">
        <f t="shared" si="336"/>
        <v>8.0618416474586896E-2</v>
      </c>
      <c r="W105" s="111">
        <f t="shared" ref="W105" si="337">+W104/V104-1</f>
        <v>-0.15827463750385662</v>
      </c>
      <c r="X105" s="100">
        <f t="shared" ref="X105" si="338">+X104/W104-1</f>
        <v>-0.25924445749265257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39">+C108+1</f>
        <v>2018</v>
      </c>
      <c r="E108" s="82">
        <f t="shared" si="339"/>
        <v>2019</v>
      </c>
      <c r="F108" s="82">
        <f t="shared" si="339"/>
        <v>2020</v>
      </c>
      <c r="G108" s="82">
        <f t="shared" si="339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40">+P108+1</f>
        <v>2018</v>
      </c>
      <c r="R108" s="82">
        <f t="shared" si="340"/>
        <v>2019</v>
      </c>
      <c r="S108" s="82">
        <f t="shared" si="340"/>
        <v>2020</v>
      </c>
      <c r="T108" s="82">
        <f t="shared" ref="T108" si="341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5" si="342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43">+(SUM(D109)+SUM(C110:C120))/12</f>
        <v>51785.018787447501</v>
      </c>
      <c r="R109" s="160">
        <f t="shared" ref="R109" si="344">+(SUM(E109)+SUM(D110:D120))/12</f>
        <v>40695.015804466289</v>
      </c>
      <c r="S109" s="160">
        <f t="shared" ref="S109" si="345">+(SUM(F109)+SUM(E110:E120))/12</f>
        <v>25839.798830613552</v>
      </c>
      <c r="T109" s="160">
        <f t="shared" ref="T109" si="346">+(SUM(G109)+SUM(F110:F120))/12</f>
        <v>37363.461552758257</v>
      </c>
      <c r="U109" s="160">
        <f t="shared" ref="U109" si="347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5" si="348">+X109/W109-1</f>
        <v>-0.38836301549629748</v>
      </c>
      <c r="Z109" s="113">
        <f t="shared" ref="Z109:Z115" si="349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42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50">+(SUM(D109:D110)+SUM(C111:C120))/12</f>
        <v>52343.98556252705</v>
      </c>
      <c r="R110" s="160">
        <f t="shared" ref="R110" si="351">+(SUM(E109:E110)+SUM(D111:D120))/12</f>
        <v>39029.824712859401</v>
      </c>
      <c r="S110" s="160">
        <f t="shared" ref="S110" si="352">+(SUM(F109:F110)+SUM(E111:E120))/12</f>
        <v>25145.885996478715</v>
      </c>
      <c r="T110" s="160">
        <f t="shared" ref="T110" si="353">+(SUM(G109:G110)+SUM(F111:F120))/12</f>
        <v>39638.07842424477</v>
      </c>
      <c r="U110" s="160">
        <f t="shared" ref="U110" si="354">+(SUM(H109:H110)+SUM(G111:G120))/12</f>
        <v>59123.044845169003</v>
      </c>
      <c r="V110" s="160">
        <f t="shared" ref="V110" si="355">+(SUM(I109:I110)+SUM(H111:H120))/12</f>
        <v>56222.037284433289</v>
      </c>
      <c r="W110" s="167">
        <f t="shared" ref="W110" si="356">+(SUM(J109:J110)+SUM(I111:I120))/12</f>
        <v>60503.217580020602</v>
      </c>
      <c r="X110" s="168">
        <f t="shared" ref="X110" si="357">+(SUM(K109:K110)+SUM(J111:J120))/12</f>
        <v>36093.334893528678</v>
      </c>
      <c r="Y110" s="117">
        <f t="shared" si="348"/>
        <v>-0.40344767869919973</v>
      </c>
      <c r="Z110" s="113">
        <f t="shared" si="349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42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58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59">+(SUM(I109:I111)+SUM(H112:H120))/12</f>
        <v>58467.90090026462</v>
      </c>
      <c r="W111" s="167">
        <f t="shared" ref="W111" si="360">+(SUM(J109:J111)+SUM(I112:I120))/12</f>
        <v>57171.148139337347</v>
      </c>
      <c r="X111" s="168">
        <f t="shared" ref="X111" si="361">+(SUM(K109:K111)+SUM(J112:J120))/12</f>
        <v>35243.055013378522</v>
      </c>
      <c r="Y111" s="117">
        <f t="shared" si="348"/>
        <v>-0.38355173613997995</v>
      </c>
      <c r="Z111" s="113">
        <f t="shared" si="349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42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62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63">+(SUM(I109:I112)+SUM(H113:H120))/12</f>
        <v>58648.184445170664</v>
      </c>
      <c r="W112" s="167">
        <f t="shared" ref="W112" si="364">+(SUM(J109:J112)+SUM(I113:I120))/12</f>
        <v>54240.631931246804</v>
      </c>
      <c r="X112" s="168">
        <f t="shared" ref="X112" si="365">+(SUM(K109:K112)+SUM(J113:J120))/12</f>
        <v>34715.01154481517</v>
      </c>
      <c r="Y112" s="117">
        <f t="shared" si="348"/>
        <v>-0.35998143257588722</v>
      </c>
      <c r="Z112" s="113">
        <f t="shared" si="349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42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366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367">+(SUM(I109:I113)+SUM(H114:H120))/12</f>
        <v>59499.636434958076</v>
      </c>
      <c r="W113" s="167">
        <f t="shared" ref="W113" si="368">+(SUM(J109:J113)+SUM(I114:I120))/12</f>
        <v>51334.38329243887</v>
      </c>
      <c r="X113" s="168">
        <f t="shared" ref="X113" si="369">+(SUM(K109:K113)+SUM(J114:J120))/12</f>
        <v>34650.342265715146</v>
      </c>
      <c r="Y113" s="117">
        <f t="shared" si="348"/>
        <v>-0.32500713862050323</v>
      </c>
      <c r="Z113" s="113">
        <f t="shared" si="349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42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370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371">+(SUM(I109:I114)+SUM(H115:H120))/12</f>
        <v>59702.543147655022</v>
      </c>
      <c r="W114" s="161">
        <f t="shared" ref="W114" si="372">+(SUM(J109:J114)+SUM(I115:I120))/12</f>
        <v>48907.364407617046</v>
      </c>
      <c r="X114" s="162">
        <f t="shared" ref="X114" si="373">+(SUM(K109:K114)+SUM(J115:J120))/12</f>
        <v>33933.453314172213</v>
      </c>
      <c r="Y114" s="78">
        <f t="shared" si="348"/>
        <v>-0.30616884133532929</v>
      </c>
      <c r="Z114" s="7">
        <f t="shared" si="349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42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374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375">+(SUM(I109:I115)+SUM(H116:H120))/12</f>
        <v>59863.098875605763</v>
      </c>
      <c r="W115" s="167">
        <f t="shared" ref="W115" si="376">+(SUM(J109:J115)+SUM(I116:I120))/12</f>
        <v>46695.952495223311</v>
      </c>
      <c r="X115" s="168">
        <f t="shared" ref="X115" si="377">+(SUM(K109:K115)+SUM(J116:J120))/12</f>
        <v>32978.547131694701</v>
      </c>
      <c r="Y115" s="117">
        <f t="shared" si="348"/>
        <v>-0.2937600505082707</v>
      </c>
      <c r="Z115" s="113">
        <f t="shared" si="349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/>
      <c r="L116" s="91"/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378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379">+(SUM(I109:I116)+SUM(H117:H120))/12</f>
        <v>60620.95684219963</v>
      </c>
      <c r="W116" s="167">
        <f t="shared" ref="W116" si="380">+(SUM(J109:J116)+SUM(I117:I120))/12</f>
        <v>45056.442414959463</v>
      </c>
      <c r="X116" s="168"/>
      <c r="Y116" s="117"/>
      <c r="Z116" s="113"/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/>
      <c r="L117" s="91"/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381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382">+(SUM(I109:I117)+SUM(H118:H120))/12</f>
        <v>61541.520514857548</v>
      </c>
      <c r="W117" s="167">
        <f t="shared" ref="W117" si="383">+(SUM(J109:J117)+SUM(I118:I120))/12</f>
        <v>42726.257532219061</v>
      </c>
      <c r="X117" s="168"/>
      <c r="Y117" s="117"/>
      <c r="Z117" s="113"/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/>
      <c r="L118" s="91"/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384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385">+(SUM(I109:I118)+SUM(H119:H120))/12</f>
        <v>63345.541096327775</v>
      </c>
      <c r="W118" s="167">
        <f t="shared" ref="W118" si="386">+(SUM(J109:J118)+SUM(I119:I120))/12</f>
        <v>39908.884457616601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/>
      <c r="L119" s="91"/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387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388">+(SUM(I109:I119)+SUM(H120))/12</f>
        <v>63448.094572856993</v>
      </c>
      <c r="W119" s="167">
        <f t="shared" ref="W119" si="389">+(SUM(J109:J119)+SUM(I120))/12</f>
        <v>38659.165227234575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390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391">+(SUM(I109:I120))/12</f>
        <v>62296.513367247557</v>
      </c>
      <c r="W120" s="167">
        <f t="shared" ref="W120" si="392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393">AVERAGE(C109:C120)</f>
        <v>50792.194989625976</v>
      </c>
      <c r="D121" s="170">
        <f t="shared" si="393"/>
        <v>41862.376415561128</v>
      </c>
      <c r="E121" s="170">
        <f t="shared" si="393"/>
        <v>27035.888234167451</v>
      </c>
      <c r="F121" s="170">
        <f t="shared" si="393"/>
        <v>35288.489060046704</v>
      </c>
      <c r="G121" s="170">
        <f t="shared" si="393"/>
        <v>58852.857948096753</v>
      </c>
      <c r="H121" s="170">
        <f t="shared" si="393"/>
        <v>55782.803903135871</v>
      </c>
      <c r="I121" s="170">
        <f t="shared" si="393"/>
        <v>62296.513367247557</v>
      </c>
      <c r="J121" s="170">
        <f t="shared" ref="J121" si="394">AVERAGE(J109:J120)</f>
        <v>37879.559818366433</v>
      </c>
      <c r="K121" s="169"/>
      <c r="L121" s="174"/>
      <c r="M121" s="3"/>
      <c r="N121" s="92" t="s">
        <v>14</v>
      </c>
      <c r="O121" s="169">
        <f t="shared" ref="O121" si="395">+AVERAGE(O109:O120)</f>
        <v>29237.352667939918</v>
      </c>
      <c r="P121" s="170">
        <f>+AVERAGE(P109:P120)</f>
        <v>42106.468425753061</v>
      </c>
      <c r="Q121" s="170">
        <f t="shared" ref="Q121:X121" si="396">+AVERAGE(Q109:Q120)</f>
        <v>49034.515322262712</v>
      </c>
      <c r="R121" s="170">
        <f t="shared" si="396"/>
        <v>32909.06888802391</v>
      </c>
      <c r="S121" s="170">
        <f t="shared" si="396"/>
        <v>29037.584325803055</v>
      </c>
      <c r="T121" s="170">
        <f t="shared" si="396"/>
        <v>49807.941528731346</v>
      </c>
      <c r="U121" s="170">
        <f t="shared" si="396"/>
        <v>57545.841268311146</v>
      </c>
      <c r="V121" s="170">
        <f t="shared" si="396"/>
        <v>60001.607553281887</v>
      </c>
      <c r="W121" s="171">
        <f t="shared" si="396"/>
        <v>48669.985756876937</v>
      </c>
      <c r="X121" s="172">
        <f t="shared" si="396"/>
        <v>34985.312975081681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397">+C121/B121-1</f>
        <v>0.59847578604862206</v>
      </c>
      <c r="D122" s="85">
        <f t="shared" si="397"/>
        <v>-0.17581084211636677</v>
      </c>
      <c r="E122" s="85">
        <f t="shared" si="397"/>
        <v>-0.35417215769629262</v>
      </c>
      <c r="F122" s="85">
        <f t="shared" si="397"/>
        <v>0.30524615113069498</v>
      </c>
      <c r="G122" s="85">
        <f t="shared" si="397"/>
        <v>0.66776361118644223</v>
      </c>
      <c r="H122" s="85">
        <f t="shared" si="397"/>
        <v>-5.2164910116487606E-2</v>
      </c>
      <c r="I122" s="85">
        <f t="shared" ref="I122:J122" si="398">+I121/H121-1</f>
        <v>0.11676912970209297</v>
      </c>
      <c r="J122" s="85">
        <f t="shared" si="398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399">+P121/O121-1</f>
        <v>0.44016008918361171</v>
      </c>
      <c r="Q122" s="85">
        <f t="shared" si="399"/>
        <v>0.1645364039191739</v>
      </c>
      <c r="R122" s="85">
        <f t="shared" si="399"/>
        <v>-0.32885909707192529</v>
      </c>
      <c r="S122" s="85">
        <f t="shared" si="399"/>
        <v>-0.11764187480946153</v>
      </c>
      <c r="T122" s="85">
        <f t="shared" si="399"/>
        <v>0.71529218718347609</v>
      </c>
      <c r="U122" s="85">
        <f t="shared" si="399"/>
        <v>0.15535473866383831</v>
      </c>
      <c r="V122" s="85">
        <f t="shared" si="399"/>
        <v>4.2674956710087475E-2</v>
      </c>
      <c r="W122" s="111">
        <f t="shared" ref="W122" si="400">+W121/V121-1</f>
        <v>-0.18885530335737055</v>
      </c>
      <c r="X122" s="100">
        <f t="shared" ref="X122" si="401">+X121/W121-1</f>
        <v>-0.2811727303590108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02">+C125+1</f>
        <v>2018</v>
      </c>
      <c r="E125" s="82">
        <f t="shared" si="402"/>
        <v>2019</v>
      </c>
      <c r="F125" s="82">
        <f t="shared" si="402"/>
        <v>2020</v>
      </c>
      <c r="G125" s="82">
        <f t="shared" si="402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03">+P125+1</f>
        <v>2018</v>
      </c>
      <c r="R125" s="82">
        <f t="shared" si="403"/>
        <v>2019</v>
      </c>
      <c r="S125" s="82">
        <f t="shared" si="403"/>
        <v>2020</v>
      </c>
      <c r="T125" s="82">
        <f t="shared" ref="T125" si="404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2" si="405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06">+(SUM(D126)+SUM(C127:C137))/12</f>
        <v>76589.644780754228</v>
      </c>
      <c r="R126" s="160">
        <f t="shared" ref="R126" si="407">+(SUM(E126)+SUM(D127:D137))/12</f>
        <v>52948.018435158679</v>
      </c>
      <c r="S126" s="160">
        <f t="shared" ref="S126" si="408">+(SUM(F126)+SUM(E127:E137))/12</f>
        <v>31483.154726794179</v>
      </c>
      <c r="T126" s="160">
        <f t="shared" ref="T126" si="409">+(SUM(G126)+SUM(F127:F137))/12</f>
        <v>39077.761191709018</v>
      </c>
      <c r="U126" s="160">
        <f t="shared" ref="U126" si="410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2" si="411">+X126/W126-1</f>
        <v>-0.28785682179071059</v>
      </c>
      <c r="Z126" s="113">
        <f t="shared" ref="Z126:Z132" si="412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05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13">+(SUM(D126:D127)+SUM(C128:C137))/12</f>
        <v>75813.466966949098</v>
      </c>
      <c r="R127" s="160">
        <f t="shared" ref="R127" si="414">+(SUM(E126:E127)+SUM(D128:D137))/12</f>
        <v>50581.51738786936</v>
      </c>
      <c r="S127" s="160">
        <f t="shared" ref="S127" si="415">+(SUM(F126:F127)+SUM(E128:E137))/12</f>
        <v>30588.939223652793</v>
      </c>
      <c r="T127" s="160">
        <f t="shared" ref="T127" si="416">+(SUM(G126:G127)+SUM(F128:F137))/12</f>
        <v>40792.13743860634</v>
      </c>
      <c r="U127" s="160">
        <f t="shared" ref="U127" si="417">+(SUM(H126:H127)+SUM(G128:G137))/12</f>
        <v>63171.387498453922</v>
      </c>
      <c r="V127" s="160">
        <f t="shared" ref="V127" si="418">+(SUM(I126:I127)+SUM(H128:H137))/12</f>
        <v>71104.833466641183</v>
      </c>
      <c r="W127" s="167">
        <f t="shared" ref="W127" si="419">+(SUM(J126:J127)+SUM(I128:I137))/12</f>
        <v>71399.764524151498</v>
      </c>
      <c r="X127" s="168">
        <f t="shared" ref="X127" si="420">+(SUM(K126:K127)+SUM(J128:J137))/12</f>
        <v>50967.036959427634</v>
      </c>
      <c r="Y127" s="117">
        <f t="shared" si="411"/>
        <v>-0.28617359876323323</v>
      </c>
      <c r="Z127" s="113">
        <f t="shared" si="412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05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21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22">+(SUM(I126:I128)+SUM(H129:H137))/12</f>
        <v>73048.607630878541</v>
      </c>
      <c r="W128" s="167">
        <f t="shared" ref="W128" si="423">+(SUM(J126:J128)+SUM(I129:I137))/12</f>
        <v>69405.928061510131</v>
      </c>
      <c r="X128" s="168">
        <f t="shared" ref="X128" si="424">+(SUM(K126:K128)+SUM(J129:J137))/12</f>
        <v>49225.905270657291</v>
      </c>
      <c r="Y128" s="117">
        <f t="shared" si="411"/>
        <v>-0.29075359057181038</v>
      </c>
      <c r="Z128" s="113">
        <f t="shared" si="412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05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25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26">+(SUM(I126:I129)+SUM(H130:H137))/12</f>
        <v>73820.624541158686</v>
      </c>
      <c r="W129" s="167">
        <f t="shared" ref="W129" si="427">+(SUM(J126:J129)+SUM(I130:I137))/12</f>
        <v>66711.974896456362</v>
      </c>
      <c r="X129" s="168">
        <f t="shared" ref="X129" si="428">+(SUM(K126:K129)+SUM(J130:J137))/12</f>
        <v>48054.385091743672</v>
      </c>
      <c r="Y129" s="117">
        <f t="shared" si="411"/>
        <v>-0.27967377421626527</v>
      </c>
      <c r="Z129" s="113">
        <f t="shared" si="412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05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29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30">+(SUM(I126:I130)+SUM(H131:H137))/12</f>
        <v>75280.711673836398</v>
      </c>
      <c r="W130" s="167">
        <f t="shared" ref="W130" si="431">+(SUM(J126:J130)+SUM(I131:I137))/12</f>
        <v>64022.959045590054</v>
      </c>
      <c r="X130" s="168">
        <f t="shared" ref="X130" si="432">+(SUM(K126:K130)+SUM(J131:J137))/12</f>
        <v>46799.522170845965</v>
      </c>
      <c r="Y130" s="117">
        <f t="shared" si="411"/>
        <v>-0.26901969436432116</v>
      </c>
      <c r="Z130" s="113">
        <f t="shared" si="412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05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33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34">+(SUM(I126:I131)+SUM(H132:H137))/12</f>
        <v>75427.452317834061</v>
      </c>
      <c r="W131" s="161">
        <f t="shared" ref="W131" si="435">+(SUM(J126:J131)+SUM(I132:I137))/12</f>
        <v>62237.038338002458</v>
      </c>
      <c r="X131" s="162">
        <f t="shared" ref="X131" si="436">+(SUM(K126:K131)+SUM(J132:J137))/12</f>
        <v>45118.997612761101</v>
      </c>
      <c r="Y131" s="78">
        <f t="shared" si="411"/>
        <v>-0.27504587593444241</v>
      </c>
      <c r="Z131" s="7">
        <f t="shared" si="412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05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37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38">+(SUM(I126:I132)+SUM(H133:H137))/12</f>
        <v>75998.766689206328</v>
      </c>
      <c r="W132" s="167">
        <f t="shared" ref="W132" si="439">+(SUM(J126:J132)+SUM(I133:I137))/12</f>
        <v>60285.851565107056</v>
      </c>
      <c r="X132" s="168">
        <f t="shared" ref="X132" si="440">+(SUM(K126:K132)+SUM(J133:J137))/12</f>
        <v>44269.5024734978</v>
      </c>
      <c r="Y132" s="117">
        <f t="shared" si="411"/>
        <v>-0.26567343208732885</v>
      </c>
      <c r="Z132" s="113">
        <f t="shared" si="412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/>
      <c r="L133" s="91"/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41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42">+(SUM(I126:I133)+SUM(H134:H137))/12</f>
        <v>75675.932720119366</v>
      </c>
      <c r="W133" s="167">
        <f t="shared" ref="W133" si="443">+(SUM(J126:J133)+SUM(I134:I137))/12</f>
        <v>59152.546069470474</v>
      </c>
      <c r="X133" s="168"/>
      <c r="Y133" s="117"/>
      <c r="Z133" s="113"/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/>
      <c r="L134" s="91"/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44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45">+(SUM(I126:I134)+SUM(H135:H137))/12</f>
        <v>75849.853481592145</v>
      </c>
      <c r="W134" s="167">
        <f t="shared" ref="W134" si="446">+(SUM(J126:J134)+SUM(I135:I137))/12</f>
        <v>57106.620442445921</v>
      </c>
      <c r="X134" s="168"/>
      <c r="Y134" s="117"/>
      <c r="Z134" s="113"/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/>
      <c r="L135" s="91"/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4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48">+(SUM(I126:I135)+SUM(H136:H137))/12</f>
        <v>75748.853243268139</v>
      </c>
      <c r="W135" s="167">
        <f t="shared" ref="W135" si="449">+(SUM(J126:J135)+SUM(I136:I137))/12</f>
        <v>55876.508215060458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/>
      <c r="L136" s="91"/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50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51">+(SUM(I126:I136)+SUM(H137))/12</f>
        <v>75384.106752279535</v>
      </c>
      <c r="W136" s="167">
        <f t="shared" ref="W136" si="452">+(SUM(J126:J136)+SUM(I137))/12</f>
        <v>54757.638831301672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53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54">+(SUM(I126:I137))/12</f>
        <v>74227.846114851578</v>
      </c>
      <c r="W137" s="167">
        <f t="shared" ref="W137" si="455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56">AVERAGE(C126:C137)</f>
        <v>77589.725856208694</v>
      </c>
      <c r="D138" s="170">
        <f t="shared" si="456"/>
        <v>54917.435459027824</v>
      </c>
      <c r="E138" s="170">
        <f t="shared" si="456"/>
        <v>32860.670874842705</v>
      </c>
      <c r="F138" s="170">
        <f t="shared" si="456"/>
        <v>37207.857246404521</v>
      </c>
      <c r="G138" s="170">
        <f t="shared" si="456"/>
        <v>61582.631204547135</v>
      </c>
      <c r="H138" s="170">
        <f t="shared" si="456"/>
        <v>67545.687809954819</v>
      </c>
      <c r="I138" s="170">
        <f t="shared" si="456"/>
        <v>74227.846114851578</v>
      </c>
      <c r="J138" s="170">
        <f t="shared" ref="J138" si="457">AVERAGE(J126:J137)</f>
        <v>53836.522860155637</v>
      </c>
      <c r="K138" s="169"/>
      <c r="L138" s="174"/>
      <c r="M138" s="3"/>
      <c r="N138" s="92" t="s">
        <v>14</v>
      </c>
      <c r="O138" s="169">
        <f t="shared" ref="O138" si="458">+AVERAGE(O126:O137)</f>
        <v>42827.926398021598</v>
      </c>
      <c r="P138" s="170">
        <f>+AVERAGE(P126:P137)</f>
        <v>69743.869367186286</v>
      </c>
      <c r="Q138" s="170">
        <f t="shared" ref="Q138:X138" si="459">+AVERAGE(Q126:Q137)</f>
        <v>68553.607043439682</v>
      </c>
      <c r="R138" s="170">
        <f t="shared" si="459"/>
        <v>41468.672186179458</v>
      </c>
      <c r="S138" s="170">
        <f t="shared" si="459"/>
        <v>32624.860166646042</v>
      </c>
      <c r="T138" s="170">
        <f t="shared" si="459"/>
        <v>51776.169033395745</v>
      </c>
      <c r="U138" s="170">
        <f t="shared" si="459"/>
        <v>64815.171966338858</v>
      </c>
      <c r="V138" s="170">
        <f t="shared" si="459"/>
        <v>74211.43796761916</v>
      </c>
      <c r="W138" s="171">
        <f t="shared" si="459"/>
        <v>62345.951119639598</v>
      </c>
      <c r="X138" s="172">
        <f t="shared" si="459"/>
        <v>48096.684570316938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60">+D138/C138-1</f>
        <v>-0.29220737857996493</v>
      </c>
      <c r="E139" s="85">
        <f t="shared" si="460"/>
        <v>-0.40163500716709499</v>
      </c>
      <c r="F139" s="85">
        <f t="shared" si="460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461">+I138/H138-1</f>
        <v>9.892797781107121E-2</v>
      </c>
      <c r="J139" s="85">
        <f t="shared" si="461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462">+Q138/P138-1</f>
        <v>-1.706619283596289E-2</v>
      </c>
      <c r="R139" s="85">
        <f t="shared" si="462"/>
        <v>-0.39509131649480655</v>
      </c>
      <c r="S139" s="85">
        <f t="shared" si="462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463">+W138/V138-1</f>
        <v>-0.15988757492014716</v>
      </c>
      <c r="X139" s="100">
        <f t="shared" ref="X139" si="464">+X138/W138-1</f>
        <v>-0.22855159466536712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48" t="str">
        <f>+A73</f>
        <v>TINTO FINANCIADO - Pesos Diciembre 2024/Hl</v>
      </c>
      <c r="B143" s="349"/>
      <c r="C143" s="349"/>
      <c r="D143" s="349"/>
      <c r="E143" s="349"/>
      <c r="F143" s="349"/>
      <c r="G143" s="349"/>
      <c r="H143" s="349"/>
      <c r="I143" s="349"/>
      <c r="J143" s="349"/>
      <c r="K143" s="35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465">+C144+1</f>
        <v>2018</v>
      </c>
      <c r="E144" s="260">
        <f t="shared" si="465"/>
        <v>2019</v>
      </c>
      <c r="F144" s="260">
        <f t="shared" si="465"/>
        <v>2020</v>
      </c>
      <c r="G144" s="260">
        <f t="shared" si="465"/>
        <v>2021</v>
      </c>
      <c r="H144" s="260">
        <f t="shared" si="465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466">+AVERAGE(C75:C77)</f>
        <v>99666.231437123017</v>
      </c>
      <c r="D145" s="160">
        <f t="shared" si="466"/>
        <v>76639.686996714081</v>
      </c>
      <c r="E145" s="160">
        <f t="shared" si="466"/>
        <v>42670.633896475476</v>
      </c>
      <c r="F145" s="160">
        <f t="shared" si="466"/>
        <v>29919.179168904579</v>
      </c>
      <c r="G145" s="160">
        <f t="shared" si="466"/>
        <v>53644.526520743908</v>
      </c>
      <c r="H145" s="160">
        <f t="shared" si="466"/>
        <v>66200.419010281577</v>
      </c>
      <c r="I145" s="160">
        <f t="shared" si="466"/>
        <v>96764.179283942969</v>
      </c>
      <c r="J145" s="161">
        <f t="shared" si="466"/>
        <v>73594.754075416087</v>
      </c>
      <c r="K145" s="276">
        <f t="shared" si="466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467">+AVERAGE(C78:C80)</f>
        <v>89852.131525485704</v>
      </c>
      <c r="D146" s="160">
        <f t="shared" si="467"/>
        <v>68248.918608667693</v>
      </c>
      <c r="E146" s="160">
        <f t="shared" si="467"/>
        <v>34881.767463301127</v>
      </c>
      <c r="F146" s="160">
        <f t="shared" si="467"/>
        <v>36646.269563233858</v>
      </c>
      <c r="G146" s="160">
        <f t="shared" si="467"/>
        <v>72268.356642482613</v>
      </c>
      <c r="H146" s="160">
        <f t="shared" si="467"/>
        <v>80218.497024667842</v>
      </c>
      <c r="I146" s="160">
        <f t="shared" si="467"/>
        <v>97269.824566312236</v>
      </c>
      <c r="J146" s="161">
        <f t="shared" si="467"/>
        <v>66322.810965764264</v>
      </c>
      <c r="K146" s="276">
        <f t="shared" si="467"/>
        <v>43416.844732666672</v>
      </c>
    </row>
    <row r="147" spans="1:23" x14ac:dyDescent="0.25">
      <c r="A147" s="264" t="s">
        <v>301</v>
      </c>
      <c r="B147" s="193"/>
      <c r="C147" s="6"/>
      <c r="D147" s="6"/>
      <c r="E147" s="6"/>
      <c r="F147" s="6"/>
      <c r="G147" s="6"/>
      <c r="H147" s="6"/>
      <c r="I147" s="6"/>
      <c r="J147" s="67"/>
      <c r="K147" s="265"/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468">+C144</f>
        <v>2017</v>
      </c>
      <c r="D149" s="302">
        <f t="shared" si="468"/>
        <v>2018</v>
      </c>
      <c r="E149" s="302">
        <f t="shared" si="468"/>
        <v>2019</v>
      </c>
      <c r="F149" s="302">
        <f t="shared" si="468"/>
        <v>2020</v>
      </c>
      <c r="G149" s="302">
        <f t="shared" si="468"/>
        <v>2021</v>
      </c>
      <c r="H149" s="302">
        <f t="shared" si="468"/>
        <v>2022</v>
      </c>
      <c r="I149" s="302">
        <f t="shared" si="468"/>
        <v>2023</v>
      </c>
      <c r="J149" s="303">
        <f t="shared" si="468"/>
        <v>2024</v>
      </c>
      <c r="K149" s="304">
        <f t="shared" si="468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469">+D145/C145-1</f>
        <v>-0.2310365718496723</v>
      </c>
      <c r="E150" s="257">
        <f t="shared" si="469"/>
        <v>-0.44323058237039803</v>
      </c>
      <c r="F150" s="257">
        <f t="shared" si="469"/>
        <v>-0.29883443396945053</v>
      </c>
      <c r="G150" s="257">
        <f t="shared" si="469"/>
        <v>0.79298122511654379</v>
      </c>
      <c r="H150" s="257">
        <f t="shared" si="469"/>
        <v>0.23405728979045803</v>
      </c>
      <c r="I150" s="257">
        <f t="shared" si="469"/>
        <v>0.46168529943767478</v>
      </c>
      <c r="J150" s="258">
        <f t="shared" si="469"/>
        <v>-0.23944217147276126</v>
      </c>
      <c r="K150" s="269">
        <f t="shared" si="469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470">+D146/C146-1</f>
        <v>-0.24043072267785282</v>
      </c>
      <c r="E151" s="257">
        <f t="shared" ref="E151" si="471">+E146/D146-1</f>
        <v>-0.4889037339432496</v>
      </c>
      <c r="F151" s="257">
        <f t="shared" ref="F151" si="472">+F146/E146-1</f>
        <v>5.0585226272984896E-2</v>
      </c>
      <c r="G151" s="257">
        <f t="shared" ref="G151" si="473">+G146/F146-1</f>
        <v>0.97205220350688482</v>
      </c>
      <c r="H151" s="257">
        <f t="shared" ref="H151" si="474">+H146/G146-1</f>
        <v>0.11000859506900396</v>
      </c>
      <c r="I151" s="257">
        <f t="shared" ref="I151" si="475">+I146/H146-1</f>
        <v>0.21256104482238025</v>
      </c>
      <c r="J151" s="258">
        <f t="shared" ref="J151" si="476">+J146/I146-1</f>
        <v>-0.31815636286513826</v>
      </c>
      <c r="K151" s="269">
        <f t="shared" ref="K151" si="477">+K146/J146-1</f>
        <v>-0.34537085958135305</v>
      </c>
    </row>
    <row r="152" spans="1:23" x14ac:dyDescent="0.25">
      <c r="A152" s="268" t="s">
        <v>305</v>
      </c>
      <c r="B152" s="256"/>
      <c r="C152" s="257"/>
      <c r="D152" s="257"/>
      <c r="E152" s="257"/>
      <c r="F152" s="257"/>
      <c r="G152" s="257"/>
      <c r="H152" s="257"/>
      <c r="I152" s="257"/>
      <c r="J152" s="258"/>
      <c r="K152" s="269"/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48" t="str">
        <f>+A90</f>
        <v>ROSADO FINANCIADO - Pesos Diciembre 2024/Hl</v>
      </c>
      <c r="B158" s="349"/>
      <c r="C158" s="349"/>
      <c r="D158" s="349"/>
      <c r="E158" s="349"/>
      <c r="F158" s="349"/>
      <c r="G158" s="349"/>
      <c r="H158" s="349"/>
      <c r="I158" s="349"/>
      <c r="J158" s="349"/>
      <c r="K158" s="35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478">+C159+1</f>
        <v>2018</v>
      </c>
      <c r="E159" s="260">
        <f t="shared" si="478"/>
        <v>2019</v>
      </c>
      <c r="F159" s="260">
        <f t="shared" si="478"/>
        <v>2020</v>
      </c>
      <c r="G159" s="260">
        <f t="shared" si="478"/>
        <v>2021</v>
      </c>
      <c r="H159" s="260">
        <f t="shared" si="478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479">+AVERAGE(C92:C94)</f>
        <v>44368.629030695018</v>
      </c>
      <c r="D160" s="160">
        <f t="shared" si="479"/>
        <v>53612.080910577381</v>
      </c>
      <c r="E160" s="160">
        <f t="shared" si="479"/>
        <v>22749.139228099666</v>
      </c>
      <c r="F160" s="160">
        <f t="shared" si="479"/>
        <v>22135.550722207914</v>
      </c>
      <c r="G160" s="160">
        <f t="shared" si="479"/>
        <v>46276.266337326939</v>
      </c>
      <c r="H160" s="160">
        <f t="shared" si="479"/>
        <v>66507.063684310415</v>
      </c>
      <c r="I160" s="160">
        <f t="shared" si="479"/>
        <v>62698.805220078029</v>
      </c>
      <c r="J160" s="161">
        <f t="shared" si="479"/>
        <v>56883.007817199163</v>
      </c>
      <c r="K160" s="276">
        <f t="shared" si="479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480">+AVERAGE(C95:C97)</f>
        <v>49445.433230097951</v>
      </c>
      <c r="D161" s="160">
        <f t="shared" si="480"/>
        <v>56699.705931390192</v>
      </c>
      <c r="E161" s="160">
        <f t="shared" si="480"/>
        <v>27398.81560556608</v>
      </c>
      <c r="F161" s="160">
        <f t="shared" si="480"/>
        <v>37095.446331108171</v>
      </c>
      <c r="G161" s="160">
        <f t="shared" si="480"/>
        <v>61401.41027743517</v>
      </c>
      <c r="H161" s="160">
        <f t="shared" si="480"/>
        <v>81445.153427152327</v>
      </c>
      <c r="I161" s="160">
        <f t="shared" si="480"/>
        <v>81407.206810603559</v>
      </c>
      <c r="J161" s="161">
        <f t="shared" si="480"/>
        <v>50878.35946270945</v>
      </c>
      <c r="K161" s="276">
        <f t="shared" si="480"/>
        <v>32506.375563999998</v>
      </c>
    </row>
    <row r="162" spans="1:11" x14ac:dyDescent="0.25">
      <c r="A162" s="264" t="s">
        <v>301</v>
      </c>
      <c r="B162" s="193"/>
      <c r="C162" s="6"/>
      <c r="D162" s="6"/>
      <c r="E162" s="6"/>
      <c r="F162" s="6"/>
      <c r="G162" s="6"/>
      <c r="H162" s="6"/>
      <c r="I162" s="6"/>
      <c r="J162" s="67"/>
      <c r="K162" s="265"/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481">+C164+1</f>
        <v>2018</v>
      </c>
      <c r="E164" s="306">
        <f t="shared" ref="E164" si="482">+D164+1</f>
        <v>2019</v>
      </c>
      <c r="F164" s="306">
        <f t="shared" ref="F164" si="483">+E164+1</f>
        <v>2020</v>
      </c>
      <c r="G164" s="306">
        <f t="shared" ref="G164" si="484">+F164+1</f>
        <v>2021</v>
      </c>
      <c r="H164" s="306">
        <f t="shared" ref="H164" si="485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486">+D160/C160-1</f>
        <v>0.20833305156865634</v>
      </c>
      <c r="E165" s="257">
        <f t="shared" si="486"/>
        <v>-0.57567140014497409</v>
      </c>
      <c r="F165" s="257">
        <f t="shared" si="486"/>
        <v>-2.6971943849807278E-2</v>
      </c>
      <c r="G165" s="257">
        <f t="shared" si="486"/>
        <v>1.0905857242078638</v>
      </c>
      <c r="H165" s="257">
        <f t="shared" si="486"/>
        <v>0.43717436492202699</v>
      </c>
      <c r="I165" s="257">
        <f t="shared" si="486"/>
        <v>-5.7260962268745996E-2</v>
      </c>
      <c r="J165" s="258">
        <f t="shared" si="486"/>
        <v>-9.2757706984446298E-2</v>
      </c>
      <c r="K165" s="269">
        <f t="shared" si="486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487">+D161/C161-1</f>
        <v>0.14671269371903262</v>
      </c>
      <c r="E166" s="257">
        <f t="shared" ref="E166" si="488">+E161/D161-1</f>
        <v>-0.51677323267390174</v>
      </c>
      <c r="F166" s="257">
        <f t="shared" ref="F166" si="489">+F161/E161-1</f>
        <v>0.35390693032629539</v>
      </c>
      <c r="G166" s="257">
        <f t="shared" ref="G166" si="490">+G161/F161-1</f>
        <v>0.65522769909211376</v>
      </c>
      <c r="H166" s="257">
        <f t="shared" ref="H166" si="491">+H161/G161-1</f>
        <v>0.32643783032265583</v>
      </c>
      <c r="I166" s="257">
        <f t="shared" ref="I166" si="492">+I161/H161-1</f>
        <v>-4.6591620191016592E-4</v>
      </c>
      <c r="J166" s="258">
        <f t="shared" ref="J166" si="493">+J161/I161-1</f>
        <v>-0.37501406256230407</v>
      </c>
      <c r="K166" s="269">
        <f t="shared" ref="K166" si="494">+K161/J161-1</f>
        <v>-0.36109623212546638</v>
      </c>
    </row>
    <row r="167" spans="1:11" x14ac:dyDescent="0.25">
      <c r="A167" s="268" t="s">
        <v>305</v>
      </c>
      <c r="B167" s="256"/>
      <c r="C167" s="257"/>
      <c r="D167" s="257"/>
      <c r="E167" s="257"/>
      <c r="F167" s="257"/>
      <c r="G167" s="257"/>
      <c r="H167" s="257"/>
      <c r="I167" s="257"/>
      <c r="J167" s="258"/>
      <c r="K167" s="269"/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48" t="str">
        <f>+A107</f>
        <v>BLANCO FINANCIADO - Pesos Diciembre 2024/Hl</v>
      </c>
      <c r="B173" s="349"/>
      <c r="C173" s="349"/>
      <c r="D173" s="349"/>
      <c r="E173" s="349"/>
      <c r="F173" s="349"/>
      <c r="G173" s="349"/>
      <c r="H173" s="349"/>
      <c r="I173" s="349"/>
      <c r="J173" s="349"/>
      <c r="K173" s="35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495">+C174+1</f>
        <v>2018</v>
      </c>
      <c r="E174" s="260">
        <f t="shared" si="495"/>
        <v>2019</v>
      </c>
      <c r="F174" s="260">
        <f t="shared" si="495"/>
        <v>2020</v>
      </c>
      <c r="G174" s="260">
        <f t="shared" si="495"/>
        <v>2021</v>
      </c>
      <c r="H174" s="260">
        <f t="shared" si="495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496">+AVERAGE(C109:C111)</f>
        <v>39220.927941551978</v>
      </c>
      <c r="D175" s="160">
        <f t="shared" si="496"/>
        <v>49404.511061676276</v>
      </c>
      <c r="E175" s="160">
        <f t="shared" si="496"/>
        <v>30950.739161579346</v>
      </c>
      <c r="F175" s="160">
        <f t="shared" si="496"/>
        <v>24256.722532914777</v>
      </c>
      <c r="G175" s="160">
        <f t="shared" si="496"/>
        <v>52467.082386463706</v>
      </c>
      <c r="H175" s="160">
        <f t="shared" si="496"/>
        <v>50412.332213289897</v>
      </c>
      <c r="I175" s="160">
        <f t="shared" si="496"/>
        <v>61152.720201804907</v>
      </c>
      <c r="J175" s="161">
        <f t="shared" si="496"/>
        <v>40651.259290164082</v>
      </c>
      <c r="K175" s="276">
        <f t="shared" si="496"/>
        <v>30105.240070212432</v>
      </c>
    </row>
    <row r="176" spans="1:11" x14ac:dyDescent="0.25">
      <c r="A176" s="264" t="s">
        <v>300</v>
      </c>
      <c r="B176" s="275">
        <f>+AVERAGE(B110:B112)</f>
        <v>26886.752089468107</v>
      </c>
      <c r="C176" s="160">
        <f t="shared" ref="C176:K176" si="497">+AVERAGE(C110:C112)</f>
        <v>43431.317195687479</v>
      </c>
      <c r="D176" s="160">
        <f t="shared" si="497"/>
        <v>47367.683162546833</v>
      </c>
      <c r="E176" s="160">
        <f t="shared" si="497"/>
        <v>27449.76630772313</v>
      </c>
      <c r="F176" s="160">
        <f t="shared" si="497"/>
        <v>29665.598324806026</v>
      </c>
      <c r="G176" s="160">
        <f t="shared" si="497"/>
        <v>60399.620557564725</v>
      </c>
      <c r="H176" s="160">
        <f t="shared" si="497"/>
        <v>57764.3694988641</v>
      </c>
      <c r="I176" s="160">
        <f t="shared" si="497"/>
        <v>66904.054648323814</v>
      </c>
      <c r="J176" s="161">
        <f t="shared" si="497"/>
        <v>40039.295228338735</v>
      </c>
      <c r="K176" s="276">
        <f t="shared" si="497"/>
        <v>29765.554758530157</v>
      </c>
    </row>
    <row r="177" spans="1:11" x14ac:dyDescent="0.25">
      <c r="A177" s="264" t="s">
        <v>301</v>
      </c>
      <c r="B177" s="193"/>
      <c r="C177" s="6"/>
      <c r="D177" s="6"/>
      <c r="E177" s="6"/>
      <c r="F177" s="6"/>
      <c r="G177" s="6"/>
      <c r="H177" s="6"/>
      <c r="I177" s="6"/>
      <c r="J177" s="67"/>
      <c r="K177" s="265"/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498">+C179+1</f>
        <v>2018</v>
      </c>
      <c r="E179" s="306">
        <f t="shared" ref="E179" si="499">+D179+1</f>
        <v>2019</v>
      </c>
      <c r="F179" s="306">
        <f t="shared" ref="F179" si="500">+E179+1</f>
        <v>2020</v>
      </c>
      <c r="G179" s="306">
        <f t="shared" ref="G179" si="501">+F179+1</f>
        <v>2021</v>
      </c>
      <c r="H179" s="306">
        <f t="shared" ref="H179" si="502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03">+D175/C175-1</f>
        <v>0.25964666453838459</v>
      </c>
      <c r="E180" s="257">
        <f t="shared" si="503"/>
        <v>-0.37352402652177574</v>
      </c>
      <c r="F180" s="257">
        <f t="shared" si="503"/>
        <v>-0.21627970155149567</v>
      </c>
      <c r="G180" s="257">
        <f t="shared" si="503"/>
        <v>1.1629914064140086</v>
      </c>
      <c r="H180" s="257">
        <f t="shared" si="503"/>
        <v>-3.9162653605147368E-2</v>
      </c>
      <c r="I180" s="257">
        <f t="shared" si="503"/>
        <v>0.21305080556625366</v>
      </c>
      <c r="J180" s="258">
        <f t="shared" si="503"/>
        <v>-0.33525018746485347</v>
      </c>
      <c r="K180" s="269">
        <f t="shared" si="503"/>
        <v>-0.25942663041937664</v>
      </c>
    </row>
    <row r="181" spans="1:11" x14ac:dyDescent="0.25">
      <c r="A181" s="268" t="s">
        <v>304</v>
      </c>
      <c r="B181" s="256"/>
      <c r="C181" s="257">
        <f>+C176/B176-1</f>
        <v>0.61534264351327495</v>
      </c>
      <c r="D181" s="257">
        <f t="shared" ref="D181" si="504">+D176/C176-1</f>
        <v>9.0634275472773806E-2</v>
      </c>
      <c r="E181" s="257">
        <f t="shared" ref="E181" si="505">+E176/D176-1</f>
        <v>-0.42049590617454147</v>
      </c>
      <c r="F181" s="257">
        <f t="shared" ref="F181" si="506">+F176/E176-1</f>
        <v>8.0723165080624382E-2</v>
      </c>
      <c r="G181" s="257">
        <f t="shared" ref="G181" si="507">+G176/F176-1</f>
        <v>1.0360155860082307</v>
      </c>
      <c r="H181" s="257">
        <f t="shared" ref="H181" si="508">+H176/G176-1</f>
        <v>-4.3630258507817321E-2</v>
      </c>
      <c r="I181" s="257">
        <f t="shared" ref="I181" si="509">+I176/H176-1</f>
        <v>0.15822357672647036</v>
      </c>
      <c r="J181" s="258">
        <f t="shared" ref="J181" si="510">+J176/I176-1</f>
        <v>-0.40154157414222036</v>
      </c>
      <c r="K181" s="269">
        <f t="shared" ref="K181" si="511">+K176/J176-1</f>
        <v>-0.2565914412633592</v>
      </c>
    </row>
    <row r="182" spans="1:11" x14ac:dyDescent="0.25">
      <c r="A182" s="268" t="s">
        <v>305</v>
      </c>
      <c r="B182" s="256"/>
      <c r="C182" s="257"/>
      <c r="D182" s="257"/>
      <c r="E182" s="257"/>
      <c r="F182" s="257"/>
      <c r="G182" s="257"/>
      <c r="H182" s="257"/>
      <c r="I182" s="257"/>
      <c r="J182" s="258"/>
      <c r="K182" s="269"/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12">+C190+1</f>
        <v>2018</v>
      </c>
      <c r="E190" s="260">
        <f t="shared" si="512"/>
        <v>2019</v>
      </c>
      <c r="F190" s="260">
        <f t="shared" si="512"/>
        <v>2020</v>
      </c>
      <c r="G190" s="260">
        <f t="shared" si="512"/>
        <v>2021</v>
      </c>
      <c r="H190" s="260">
        <f t="shared" si="512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13">+AVERAGE(C126:C128)</f>
        <v>75394.609240803242</v>
      </c>
      <c r="D191" s="160">
        <f t="shared" si="513"/>
        <v>64139.443229169534</v>
      </c>
      <c r="E191" s="160">
        <f t="shared" si="513"/>
        <v>37964.354488329911</v>
      </c>
      <c r="F191" s="160">
        <f t="shared" si="513"/>
        <v>28126.879505907051</v>
      </c>
      <c r="G191" s="160">
        <f t="shared" si="513"/>
        <v>52722.055264614224</v>
      </c>
      <c r="H191" s="160">
        <f t="shared" si="513"/>
        <v>60257.515954906536</v>
      </c>
      <c r="I191" s="160">
        <f t="shared" si="513"/>
        <v>82269.195238601431</v>
      </c>
      <c r="J191" s="161">
        <f t="shared" si="513"/>
        <v>62981.523025235605</v>
      </c>
      <c r="K191" s="276">
        <f t="shared" si="513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14">+AVERAGE(C129:C131)</f>
        <v>74731.424134448302</v>
      </c>
      <c r="D192" s="160">
        <f t="shared" si="514"/>
        <v>59835.6067791967</v>
      </c>
      <c r="E192" s="160">
        <f t="shared" si="514"/>
        <v>31765.484708241565</v>
      </c>
      <c r="F192" s="160">
        <f t="shared" si="514"/>
        <v>36914.697380500103</v>
      </c>
      <c r="G192" s="160">
        <f t="shared" si="514"/>
        <v>69355.160089199882</v>
      </c>
      <c r="H192" s="160">
        <f t="shared" si="514"/>
        <v>75240.262006126737</v>
      </c>
      <c r="I192" s="160">
        <f t="shared" si="514"/>
        <v>84755.64075394877</v>
      </c>
      <c r="J192" s="161">
        <f t="shared" si="514"/>
        <v>56080.081859918129</v>
      </c>
      <c r="K192" s="276">
        <f t="shared" si="514"/>
        <v>39652.451228333324</v>
      </c>
    </row>
    <row r="193" spans="1:11" x14ac:dyDescent="0.25">
      <c r="A193" s="264" t="s">
        <v>301</v>
      </c>
      <c r="B193" s="193"/>
      <c r="C193" s="6"/>
      <c r="D193" s="6"/>
      <c r="E193" s="6"/>
      <c r="F193" s="6"/>
      <c r="G193" s="6"/>
      <c r="H193" s="6"/>
      <c r="I193" s="6"/>
      <c r="J193" s="67"/>
      <c r="K193" s="265"/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15">+C195+1</f>
        <v>2018</v>
      </c>
      <c r="E195" s="306">
        <f t="shared" ref="E195" si="516">+D195+1</f>
        <v>2019</v>
      </c>
      <c r="F195" s="306">
        <f t="shared" ref="F195" si="517">+E195+1</f>
        <v>2020</v>
      </c>
      <c r="G195" s="306">
        <f t="shared" ref="G195" si="518">+F195+1</f>
        <v>2021</v>
      </c>
      <c r="H195" s="306">
        <f t="shared" ref="H195" si="519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20">+D191/C191-1</f>
        <v>-0.14928343186560955</v>
      </c>
      <c r="E196" s="257">
        <f t="shared" si="520"/>
        <v>-0.40809660051641417</v>
      </c>
      <c r="F196" s="257">
        <f t="shared" si="520"/>
        <v>-0.25912398920010238</v>
      </c>
      <c r="G196" s="257">
        <f t="shared" si="520"/>
        <v>0.87443670221368963</v>
      </c>
      <c r="H196" s="257">
        <f t="shared" si="520"/>
        <v>0.1429280526427037</v>
      </c>
      <c r="I196" s="257">
        <f t="shared" si="520"/>
        <v>0.36529350629334356</v>
      </c>
      <c r="J196" s="258">
        <f t="shared" si="520"/>
        <v>-0.23444585980726695</v>
      </c>
      <c r="K196" s="269">
        <f t="shared" si="520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21">+D192/C192-1</f>
        <v>-0.19932468205681098</v>
      </c>
      <c r="E197" s="257">
        <f t="shared" ref="E197" si="522">+E192/D192-1</f>
        <v>-0.46912070557817742</v>
      </c>
      <c r="F197" s="257">
        <f t="shared" ref="F197" si="523">+F192/E192-1</f>
        <v>0.16210086890072151</v>
      </c>
      <c r="G197" s="257">
        <f t="shared" ref="G197" si="524">+G192/F192-1</f>
        <v>0.87879530405784112</v>
      </c>
      <c r="H197" s="257">
        <f t="shared" ref="H197" si="525">+H192/G192-1</f>
        <v>8.4854564669129662E-2</v>
      </c>
      <c r="I197" s="257">
        <f t="shared" ref="I197" si="526">+I192/H192-1</f>
        <v>0.12646658177568826</v>
      </c>
      <c r="J197" s="258">
        <f t="shared" ref="J197" si="527">+J192/I192-1</f>
        <v>-0.33833215864980226</v>
      </c>
      <c r="K197" s="269">
        <f t="shared" ref="K197" si="528">+K192/J192-1</f>
        <v>-0.29293164501113278</v>
      </c>
    </row>
    <row r="198" spans="1:11" x14ac:dyDescent="0.25">
      <c r="A198" s="268" t="s">
        <v>305</v>
      </c>
      <c r="B198" s="256"/>
      <c r="C198" s="257"/>
      <c r="D198" s="257"/>
      <c r="E198" s="257"/>
      <c r="F198" s="257"/>
      <c r="G198" s="257"/>
      <c r="H198" s="257"/>
      <c r="I198" s="257"/>
      <c r="J198" s="258"/>
      <c r="K198" s="269"/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143:K143"/>
    <mergeCell ref="A158:K158"/>
    <mergeCell ref="A173:K173"/>
    <mergeCell ref="A189:K189"/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218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 t="str">
        <f>+IF('Despacho por tipo'!K67="","",'Despacho por tipo'!K67)</f>
        <v/>
      </c>
      <c r="Q13" s="22" t="str">
        <f>+IF('Despacho por tipo'!L67="","",'Despacho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 t="str">
        <f>+IF('Despacho por tipo'!K68="","",'Despacho por tipo'!K68)</f>
        <v/>
      </c>
      <c r="Q14" s="22" t="str">
        <f>+IF('Despacho por tipo'!L68="","",'Despacho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 t="str">
        <f>+IF('Despacho por tipo'!K69="","",'Despacho por tipo'!K69)</f>
        <v/>
      </c>
      <c r="Q15" s="22" t="str">
        <f>+IF('Despacho por tipo'!L69="","",'Despacho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 t="str">
        <f>+IF('Despacho por tipo'!K70="","",'Despacho por tipo'!K70)</f>
        <v/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29" t="s">
        <v>161</v>
      </c>
      <c r="J20" s="330"/>
      <c r="K20" s="331"/>
      <c r="L20" s="329" t="s">
        <v>166</v>
      </c>
      <c r="M20" s="330"/>
      <c r="N20" s="331"/>
      <c r="O20" s="329" t="s">
        <v>162</v>
      </c>
      <c r="P20" s="330"/>
      <c r="Q20" s="332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 t="str">
        <f>+IF('Despacho por tipo'!K13="","",'Despacho por tipo'!K13)</f>
        <v/>
      </c>
      <c r="K28" s="35" t="str">
        <f>+IF('Despacho por tipo'!L13="","",'Despacho por tipo'!L13)</f>
        <v/>
      </c>
      <c r="L28" s="26">
        <f>+IF('Despacho por tipo'!J31="","",'Despacho por tipo'!J31)</f>
        <v>51.483199999999997</v>
      </c>
      <c r="M28" s="26" t="str">
        <f>+IF('Despacho por tipo'!K31="","",'Despacho por tipo'!K31)</f>
        <v/>
      </c>
      <c r="N28" s="35" t="str">
        <f>+IF('Despacho por tipo'!L31="","",'Despacho por tipo'!L31)</f>
        <v/>
      </c>
      <c r="O28" s="26">
        <f>+IF('Despacho por tipo'!J49="","",'Despacho por tipo'!J49)</f>
        <v>1.8946000000000001</v>
      </c>
      <c r="P28" s="26" t="str">
        <f>+IF('Despacho por tipo'!K49="","",'Despacho por tipo'!K49)</f>
        <v/>
      </c>
      <c r="Q28" s="22" t="str">
        <f>+IF('Despacho por tipo'!L49="","",'Despacho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 t="str">
        <f>+IF('Despacho por tipo'!K14="","",'Despacho por tipo'!K14)</f>
        <v/>
      </c>
      <c r="K29" s="35" t="str">
        <f>+IF('Despacho por tipo'!L14="","",'Despacho por tipo'!L14)</f>
        <v/>
      </c>
      <c r="L29" s="26">
        <f>+IF('Despacho por tipo'!J32="","",'Despacho por tipo'!J32)</f>
        <v>55.452199999999998</v>
      </c>
      <c r="M29" s="26" t="str">
        <f>+IF('Despacho por tipo'!K32="","",'Despacho por tipo'!K32)</f>
        <v/>
      </c>
      <c r="N29" s="35" t="str">
        <f>+IF('Despacho por tipo'!L32="","",'Despacho por tipo'!L32)</f>
        <v/>
      </c>
      <c r="O29" s="26">
        <f>+IF('Despacho por tipo'!J50="","",'Despacho por tipo'!J50)</f>
        <v>2.5535999999999999</v>
      </c>
      <c r="P29" s="26" t="str">
        <f>+IF('Despacho por tipo'!K50="","",'Despacho por tipo'!K50)</f>
        <v/>
      </c>
      <c r="Q29" s="22" t="str">
        <f>+IF('Despacho por tipo'!L50="","",'Despacho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 t="str">
        <f>+IF('Despacho por tipo'!K15="","",'Despacho por tipo'!K15)</f>
        <v/>
      </c>
      <c r="K30" s="35" t="str">
        <f>+IF('Despacho por tipo'!L15="","",'Despacho por tipo'!L15)</f>
        <v/>
      </c>
      <c r="L30" s="26">
        <f>+IF('Despacho por tipo'!J33="","",'Despacho por tipo'!J33)</f>
        <v>43.411900000000003</v>
      </c>
      <c r="M30" s="26" t="str">
        <f>+IF('Despacho por tipo'!K33="","",'Despacho por tipo'!K33)</f>
        <v/>
      </c>
      <c r="N30" s="35" t="str">
        <f>+IF('Despacho por tipo'!L33="","",'Despacho por tipo'!L33)</f>
        <v/>
      </c>
      <c r="O30" s="26">
        <f>+IF('Despacho por tipo'!J51="","",'Despacho por tipo'!J51)</f>
        <v>3.8283</v>
      </c>
      <c r="P30" s="26" t="str">
        <f>+IF('Despacho por tipo'!K51="","",'Despacho por tipo'!K51)</f>
        <v/>
      </c>
      <c r="Q30" s="22" t="str">
        <f>+IF('Despacho por tipo'!L51="","",'Despacho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 t="str">
        <f>+IF('Despacho por tipo'!K16="","",'Despacho por tipo'!K16)</f>
        <v/>
      </c>
      <c r="K31" s="35" t="str">
        <f>+IF('Despacho por tipo'!L16="","",'Despacho por tipo'!L16)</f>
        <v/>
      </c>
      <c r="L31" s="26">
        <f>+IF('Despacho por tipo'!J34="","",'Despacho por tipo'!J34)</f>
        <v>46.086399999999998</v>
      </c>
      <c r="M31" s="26" t="str">
        <f>+IF('Despacho por tipo'!K34="","",'Despacho por tipo'!K34)</f>
        <v/>
      </c>
      <c r="N31" s="35" t="str">
        <f>+IF('Despacho por tipo'!L34="","",'Despacho por tipo'!L34)</f>
        <v/>
      </c>
      <c r="O31" s="26">
        <f>+IF('Despacho por tipo'!J52="","",'Despacho por tipo'!J52)</f>
        <v>4.1843000000000004</v>
      </c>
      <c r="P31" s="26" t="str">
        <f>+IF('Despacho por tipo'!K52="","",'Despacho por tipo'!K52)</f>
        <v/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29" t="s">
        <v>163</v>
      </c>
      <c r="J35" s="330"/>
      <c r="K35" s="331"/>
      <c r="L35" s="329" t="s">
        <v>164</v>
      </c>
      <c r="M35" s="330"/>
      <c r="N35" s="331"/>
      <c r="O35" s="329" t="s">
        <v>165</v>
      </c>
      <c r="P35" s="330"/>
      <c r="Q35" s="332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 t="str">
        <f>+IF('Despacho por envase'!K13="","",'Despacho por envase'!K13)</f>
        <v/>
      </c>
      <c r="K43" s="35" t="str">
        <f>+IF('Despacho por envase'!L13="","",'Despacho por envase'!L13)</f>
        <v/>
      </c>
      <c r="L43" s="26">
        <f>+IF('Despacho por envase'!J31="","",'Despacho por envase'!J31)</f>
        <v>50.517400000000002</v>
      </c>
      <c r="M43" s="26" t="str">
        <f>+IF('Despacho por envase'!K31="","",'Despacho por envase'!K31)</f>
        <v/>
      </c>
      <c r="N43" s="35" t="str">
        <f>+IF('Despacho por envase'!L31="","",'Despacho por envase'!L31)</f>
        <v/>
      </c>
      <c r="O43" s="26">
        <f>+IF('Despacho por envase'!J49="","",'Despacho por envase'!J49)</f>
        <v>21.936399999999999</v>
      </c>
      <c r="P43" s="26" t="str">
        <f>+IF('Despacho por envase'!K49="","",'Despacho por envase'!K49)</f>
        <v/>
      </c>
      <c r="Q43" s="22" t="str">
        <f>+IF('Despacho por envase'!L49="","",'Despacho por envase'!L49)</f>
        <v/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 t="str">
        <f>+IF('Despacho por envase'!K14="","",'Despacho por envase'!K14)</f>
        <v/>
      </c>
      <c r="K44" s="35" t="str">
        <f>+IF('Despacho por envase'!L14="","",'Despacho por envase'!L14)</f>
        <v/>
      </c>
      <c r="L44" s="26">
        <f>+IF('Despacho por envase'!J32="","",'Despacho por envase'!J32)</f>
        <v>55.869599999999998</v>
      </c>
      <c r="M44" s="26" t="str">
        <f>+IF('Despacho por envase'!K32="","",'Despacho por envase'!K32)</f>
        <v/>
      </c>
      <c r="N44" s="35" t="str">
        <f>+IF('Despacho por envase'!L32="","",'Despacho por envase'!L32)</f>
        <v/>
      </c>
      <c r="O44" s="26">
        <f>+IF('Despacho por envase'!J50="","",'Despacho por envase'!J50)</f>
        <v>23.2318</v>
      </c>
      <c r="P44" s="26" t="str">
        <f>+IF('Despacho por envase'!K50="","",'Despacho por envase'!K50)</f>
        <v/>
      </c>
      <c r="Q44" s="22" t="str">
        <f>+IF('Despacho por envase'!L50="","",'Despacho por envase'!L50)</f>
        <v/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 t="str">
        <f>+IF('Despacho por envase'!K15="","",'Despacho por envase'!K15)</f>
        <v/>
      </c>
      <c r="K45" s="35" t="str">
        <f>+IF('Despacho por envase'!L15="","",'Despacho por envase'!L15)</f>
        <v/>
      </c>
      <c r="L45" s="26">
        <f>+IF('Despacho por envase'!J33="","",'Despacho por envase'!J33)</f>
        <v>47.7316</v>
      </c>
      <c r="M45" s="26" t="str">
        <f>+IF('Despacho por envase'!K33="","",'Despacho por envase'!K33)</f>
        <v/>
      </c>
      <c r="N45" s="35" t="str">
        <f>+IF('Despacho por envase'!L33="","",'Despacho por envase'!L33)</f>
        <v/>
      </c>
      <c r="O45" s="26">
        <f>+IF('Despacho por envase'!J51="","",'Despacho por envase'!J51)</f>
        <v>20.831299999999999</v>
      </c>
      <c r="P45" s="26" t="str">
        <f>+IF('Despacho por envase'!K51="","",'Despacho por envase'!K51)</f>
        <v/>
      </c>
      <c r="Q45" s="22" t="str">
        <f>+IF('Despacho por envase'!L51="","",'Despacho por envase'!L51)</f>
        <v/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 t="str">
        <f>+IF('Despacho por envase'!K16="","",'Despacho por envase'!K16)</f>
        <v/>
      </c>
      <c r="K46" s="35" t="str">
        <f>+IF('Despacho por envase'!L16="","",'Despacho por envase'!L16)</f>
        <v/>
      </c>
      <c r="L46" s="26">
        <f>+IF('Despacho por envase'!J34="","",'Despacho por envase'!J34)</f>
        <v>44.731000000000002</v>
      </c>
      <c r="M46" s="26" t="str">
        <f>+IF('Despacho por envase'!K34="","",'Despacho por envase'!K34)</f>
        <v/>
      </c>
      <c r="N46" s="35" t="str">
        <f>+IF('Despacho por envase'!L34="","",'Despacho por envase'!L34)</f>
        <v/>
      </c>
      <c r="O46" s="26">
        <f>+IF('Despacho por envase'!J52="","",'Despacho por envase'!J52)</f>
        <v>22.7315</v>
      </c>
      <c r="P46" s="26" t="str">
        <f>+IF('Despacho por envase'!K52="","",'Despacho por envase'!K52)</f>
        <v/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29" t="s">
        <v>167</v>
      </c>
      <c r="J50" s="330"/>
      <c r="K50" s="331"/>
      <c r="L50" s="329" t="s">
        <v>168</v>
      </c>
      <c r="M50" s="330"/>
      <c r="N50" s="331"/>
      <c r="O50" s="329" t="s">
        <v>169</v>
      </c>
      <c r="P50" s="330"/>
      <c r="Q50" s="332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12.1046</v>
      </c>
      <c r="J52" s="26">
        <f>+IF('Despacho por color'!K7="","",'Despacho por color'!K7)</f>
        <v>14.5138</v>
      </c>
      <c r="K52" s="35">
        <f>+IF('Despacho por color'!L7="","",'Despacho por color'!L7)</f>
        <v>-0.15871339013914176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0.13513646907852528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13.9244</v>
      </c>
      <c r="J53" s="26">
        <f>+IF('Despacho por color'!K8="","",'Despacho por color'!K8)</f>
        <v>13.2531</v>
      </c>
      <c r="K53" s="35">
        <f>+IF('Despacho por color'!L8="","",'Despacho por color'!L8)</f>
        <v>4.9219843824426235E-3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-5.0395624236631131E-2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-8.000083646426559E-2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14.7433</v>
      </c>
      <c r="J54" s="26">
        <f>+IF('Despacho por color'!K9="","",'Despacho por color'!K9)</f>
        <v>16.894600000000001</v>
      </c>
      <c r="K54" s="35">
        <f>+IF('Despacho por color'!L9="","",'Despacho por color'!L9)</f>
        <v>-0.12565457445988348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-4.9208691669635152E-2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8.2984603237268084E-2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17.9559</v>
      </c>
      <c r="J55" s="26">
        <f>+IF('Despacho por color'!K10="","",'Despacho por color'!K10)</f>
        <v>20.9985</v>
      </c>
      <c r="K55" s="35">
        <f>+IF('Despacho por color'!L10="","",'Despacho por color'!L10)</f>
        <v>6.2642773444435251E-2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9.4958722708796017E-2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-0.13288970452929094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26.308199999999999</v>
      </c>
      <c r="J56" s="26">
        <f>+IF('Despacho por color'!K11="","",'Despacho por color'!K11)</f>
        <v>26.363499999999998</v>
      </c>
      <c r="K56" s="35">
        <f>+IF('Despacho por color'!L11="","",'Despacho por color'!L11)</f>
        <v>0.27937636468854699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0.84432755701264539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-5.0341078500760528E-2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15.931800000000001</v>
      </c>
      <c r="J57" s="26">
        <f>+IF('Despacho por color'!K12="","",'Despacho por color'!K12)</f>
        <v>20.870799999999999</v>
      </c>
      <c r="K57" s="35">
        <f>+IF('Despacho por color'!L12="","",'Despacho por color'!L12)</f>
        <v>-0.11306206750655523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-0.11567323768420235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-4.2209710368783515E-3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21.844100000000001</v>
      </c>
      <c r="J58" s="26" t="str">
        <f>+IF('Despacho por color'!K13="","",'Despacho por color'!K13)</f>
        <v/>
      </c>
      <c r="K58" s="35" t="str">
        <f>+IF('Despacho por color'!L13="","",'Despacho por color'!L13)</f>
        <v/>
      </c>
      <c r="L58" s="26">
        <f>+IF('Despacho por color'!J31="","",'Despacho por color'!J31)</f>
        <v>3.2766999999999999</v>
      </c>
      <c r="M58" s="26" t="str">
        <f>+IF('Despacho por color'!K31="","",'Despacho por color'!K31)</f>
        <v/>
      </c>
      <c r="N58" s="35" t="str">
        <f>+IF('Despacho por color'!L31="","",'Despacho por color'!L31)</f>
        <v/>
      </c>
      <c r="O58" s="26">
        <f>+IF('Despacho por color'!J67="","",'Despacho por color'!J67)</f>
        <v>16.7074</v>
      </c>
      <c r="P58" s="26" t="str">
        <f>+IF('Despacho por color'!K67="","",'Despacho por color'!K67)</f>
        <v/>
      </c>
      <c r="Q58" s="22" t="str">
        <f>+IF('Despacho por color'!L67="","",'Despacho por color'!L67)</f>
        <v/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23.2133</v>
      </c>
      <c r="J59" s="26" t="str">
        <f>+IF('Despacho por color'!K14="","",'Despacho por color'!K14)</f>
        <v/>
      </c>
      <c r="K59" s="35" t="str">
        <f>+IF('Despacho por color'!L14="","",'Despacho por color'!L14)</f>
        <v/>
      </c>
      <c r="L59" s="26">
        <f>+IF('Despacho por color'!J32="","",'Despacho por color'!J32)</f>
        <v>3.7685</v>
      </c>
      <c r="M59" s="26" t="str">
        <f>+IF('Despacho por color'!K32="","",'Despacho por color'!K32)</f>
        <v/>
      </c>
      <c r="N59" s="35" t="str">
        <f>+IF('Despacho por color'!L32="","",'Despacho por color'!L32)</f>
        <v/>
      </c>
      <c r="O59" s="26">
        <f>+IF('Despacho por color'!J68="","",'Despacho por color'!J68)</f>
        <v>20.506900000000002</v>
      </c>
      <c r="P59" s="26" t="str">
        <f>+IF('Despacho por color'!K68="","",'Despacho por color'!K68)</f>
        <v/>
      </c>
      <c r="Q59" s="22" t="str">
        <f>+IF('Despacho por color'!L68="","",'Despacho por color'!L68)</f>
        <v/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 t="str">
        <f>+IF('Despacho por color'!K15="","",'Despacho por color'!K15)</f>
        <v/>
      </c>
      <c r="K60" s="35" t="str">
        <f>+IF('Despacho por color'!L15="","",'Despacho por color'!L15)</f>
        <v/>
      </c>
      <c r="L60" s="26">
        <f>+IF('Despacho por color'!J33="","",'Despacho por color'!J33)</f>
        <v>3.6909999999999998</v>
      </c>
      <c r="M60" s="26" t="str">
        <f>+IF('Despacho por color'!K33="","",'Despacho por color'!K33)</f>
        <v/>
      </c>
      <c r="N60" s="35" t="str">
        <f>+IF('Despacho por color'!L33="","",'Despacho por color'!L33)</f>
        <v/>
      </c>
      <c r="O60" s="26">
        <f>+IF('Despacho por color'!J69="","",'Despacho por color'!J69)</f>
        <v>17.067</v>
      </c>
      <c r="P60" s="26" t="str">
        <f>+IF('Despacho por color'!K69="","",'Despacho por color'!K69)</f>
        <v/>
      </c>
      <c r="Q60" s="22" t="str">
        <f>+IF('Despacho por color'!L69="","",'Despacho por color'!L69)</f>
        <v/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 t="str">
        <f>+IF('Despacho por color'!K16="","",'Despacho por color'!K16)</f>
        <v/>
      </c>
      <c r="K61" s="35" t="str">
        <f>+IF('Despacho por color'!L16="","",'Despacho por color'!L16)</f>
        <v/>
      </c>
      <c r="L61" s="26">
        <f>+IF('Despacho por color'!J34="","",'Despacho por color'!J34)</f>
        <v>2.9203000000000001</v>
      </c>
      <c r="M61" s="26" t="str">
        <f>+IF('Despacho por color'!K34="","",'Despacho por color'!K34)</f>
        <v/>
      </c>
      <c r="N61" s="35" t="str">
        <f>+IF('Despacho por color'!L34="","",'Despacho por color'!L34)</f>
        <v/>
      </c>
      <c r="O61" s="26">
        <f>+IF('Despacho por color'!J70="","",'Despacho por color'!J70)</f>
        <v>17.944500000000001</v>
      </c>
      <c r="P61" s="26" t="str">
        <f>+IF('Despacho por color'!K70="","",'Despacho por color'!K70)</f>
        <v/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20.632999999999999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15.165900000000001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29" t="s">
        <v>170</v>
      </c>
      <c r="J65" s="330"/>
      <c r="K65" s="331"/>
      <c r="L65" s="329" t="s">
        <v>171</v>
      </c>
      <c r="M65" s="330"/>
      <c r="N65" s="331"/>
      <c r="O65" s="329" t="s">
        <v>172</v>
      </c>
      <c r="P65" s="330"/>
      <c r="Q65" s="332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-7.2816807681338469E-2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-0.20675289797040952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8.0027120423428411E-2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1.451587308215907E-2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5.6460564348836062E-2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-6.7911087816267202E-2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-0.13738025612584459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-9.2467502839316928E-2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-0.17174577067669172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6.0539862587949855E-2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-9.5415197020751852E-2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7.5486179073082305E-2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0.19432638467246832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0.11815433172032885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-0.10756995529796942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-0.11263149003632011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-0.10993800134927645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 t="str">
        <f>+IF('Despacho por color'!K85="","",'Despacho por color'!K85)</f>
        <v/>
      </c>
      <c r="K73" s="35" t="str">
        <f>+IF('Despacho por color'!L85="","",'Despacho por color'!L85)</f>
        <v/>
      </c>
      <c r="L73" s="26">
        <f>+IF('Despacho por color'!J103="","",'Despacho por color'!J103)</f>
        <v>18.567399999999999</v>
      </c>
      <c r="M73" s="26" t="str">
        <f>+IF('Despacho por color'!K103="","",'Despacho por color'!K103)</f>
        <v/>
      </c>
      <c r="N73" s="35" t="str">
        <f>+IF('Despacho por color'!L103="","",'Despacho por color'!L103)</f>
        <v/>
      </c>
      <c r="O73" s="26">
        <f>+IF('Despacho por color'!J139="","",'Despacho por color'!J139)</f>
        <v>58.624099999999999</v>
      </c>
      <c r="P73" s="26" t="str">
        <f>+IF('Despacho por color'!K139="","",'Despacho por color'!K139)</f>
        <v/>
      </c>
      <c r="Q73" s="22" t="str">
        <f>+IF('Despacho por color'!L139="","",'Despacho por color'!L139)</f>
        <v/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 t="str">
        <f>+IF('Despacho por color'!K86="","",'Despacho por color'!K86)</f>
        <v/>
      </c>
      <c r="K74" s="35" t="str">
        <f>+IF('Despacho por color'!L86="","",'Despacho por color'!L86)</f>
        <v/>
      </c>
      <c r="L74" s="26">
        <f>+IF('Despacho por color'!J104="","",'Despacho por color'!J104)</f>
        <v>19.444800000000001</v>
      </c>
      <c r="M74" s="26" t="str">
        <f>+IF('Despacho por color'!K104="","",'Despacho por color'!K104)</f>
        <v/>
      </c>
      <c r="N74" s="35" t="str">
        <f>+IF('Despacho por color'!L104="","",'Despacho por color'!L104)</f>
        <v/>
      </c>
      <c r="O74" s="26">
        <f>+IF('Despacho por color'!J140="","",'Despacho por color'!J140)</f>
        <v>60.903500000000001</v>
      </c>
      <c r="P74" s="26" t="str">
        <f>+IF('Despacho por color'!K140="","",'Despacho por color'!K140)</f>
        <v/>
      </c>
      <c r="Q74" s="22" t="str">
        <f>+IF('Despacho por color'!L140="","",'Despacho por color'!L140)</f>
        <v/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 t="str">
        <f>+IF('Despacho por color'!K87="","",'Despacho por color'!K87)</f>
        <v/>
      </c>
      <c r="K75" s="35" t="str">
        <f>+IF('Despacho por color'!L87="","",'Despacho por color'!L87)</f>
        <v/>
      </c>
      <c r="L75" s="26">
        <f>+IF('Despacho por color'!J105="","",'Despacho por color'!J105)</f>
        <v>19.493500000000001</v>
      </c>
      <c r="M75" s="26" t="str">
        <f>+IF('Despacho por color'!K105="","",'Despacho por color'!K105)</f>
        <v/>
      </c>
      <c r="N75" s="35" t="str">
        <f>+IF('Despacho por color'!L105="","",'Despacho por color'!L105)</f>
        <v/>
      </c>
      <c r="O75" s="26">
        <f>+IF('Despacho por color'!J141="","",'Despacho por color'!J141)</f>
        <v>53.597200000000001</v>
      </c>
      <c r="P75" s="26" t="str">
        <f>+IF('Despacho por color'!K141="","",'Despacho por color'!K141)</f>
        <v/>
      </c>
      <c r="Q75" s="22" t="str">
        <f>+IF('Despacho por color'!L141="","",'Despacho por color'!L141)</f>
        <v/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 t="str">
        <f>+IF('Despacho por color'!K88="","",'Despacho por color'!K88)</f>
        <v/>
      </c>
      <c r="K76" s="35" t="str">
        <f>+IF('Despacho por color'!L88="","",'Despacho por color'!L88)</f>
        <v/>
      </c>
      <c r="L76" s="26">
        <f>+IF('Despacho por color'!J106="","",'Despacho por color'!J106)</f>
        <v>16.252800000000001</v>
      </c>
      <c r="M76" s="26" t="str">
        <f>+IF('Despacho por color'!K106="","",'Despacho por color'!K106)</f>
        <v/>
      </c>
      <c r="N76" s="35" t="str">
        <f>+IF('Despacho por color'!L106="","",'Despacho por color'!L106)</f>
        <v/>
      </c>
      <c r="O76" s="26">
        <f>+IF('Despacho por color'!J142="","",'Despacho por color'!J142)</f>
        <v>51.617600000000003</v>
      </c>
      <c r="P76" s="26" t="str">
        <f>+IF('Despacho por color'!K142="","",'Despacho por color'!K142)</f>
        <v/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V2" s="177" t="s">
        <v>206</v>
      </c>
    </row>
    <row r="3" spans="2:22" ht="6" customHeight="1" x14ac:dyDescent="0.25"/>
    <row r="4" spans="2:22" ht="18.75" customHeight="1" x14ac:dyDescent="0.25">
      <c r="B4" s="333" t="s">
        <v>173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 t="str">
        <f>+IF('Exportación por tipo'!K68="","",'Exportación por tipo'!K68)</f>
        <v/>
      </c>
      <c r="T14" s="22" t="str">
        <f>+IF('Exportación por tipo'!L68="","",'Exportación por tipo'!L68)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 t="str">
        <f>+IF('Exportación por tipo'!K69="","",'Exportación por tipo'!K69)</f>
        <v/>
      </c>
      <c r="T15" s="22" t="str">
        <f>+IF('Exportación por tipo'!L69="","",'Exportación por tipo'!L69)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 t="str">
        <f>+IF('Exportación por tipo'!K70="","",'Exportación por tipo'!K70)</f>
        <v/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 t="str">
        <f>+IF('Exportación por tipo'!K71="","",'Exportación por tipo'!K71)</f>
        <v/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 t="str">
        <f>+IF('Exportación por envase'!K103="","",'Exportación por envase'!K103)</f>
        <v/>
      </c>
      <c r="T28" s="22" t="str">
        <f>+IF('Exportación por envase'!L103="","",'Exportación por envase'!L103)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 t="str">
        <f>+IF('Exportación por envase'!K104="","",'Exportación por envase'!K104)</f>
        <v/>
      </c>
      <c r="T29" s="22" t="str">
        <f>+IF('Exportación por envase'!L104="","",'Exportación por envase'!L104)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 t="str">
        <f>+IF('Exportación por envase'!K105="","",'Exportación por envase'!K105)</f>
        <v/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 t="str">
        <f>+IF('Exportación por envase'!K106="","",'Exportación por envase'!K106)</f>
        <v/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29" t="s">
        <v>174</v>
      </c>
      <c r="P34" s="330"/>
      <c r="Q34" s="331"/>
      <c r="R34" s="329" t="s">
        <v>175</v>
      </c>
      <c r="S34" s="330"/>
      <c r="T34" s="332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 t="str">
        <f>+IF('Exportación por envase'!K14="","",'Exportación por envase'!K14)</f>
        <v/>
      </c>
      <c r="Q43" s="21" t="str">
        <f>+IF('Exportación por envase'!L14="","",'Exportación por envase'!L14)</f>
        <v/>
      </c>
      <c r="R43" s="20">
        <f>+IF('Exportación por envase'!J32="","",'Exportación por envase'!J32)</f>
        <v>4.8810000000000002</v>
      </c>
      <c r="S43" s="20" t="str">
        <f>+IF('Exportación por envase'!K32="","",'Exportación por envase'!K32)</f>
        <v/>
      </c>
      <c r="T43" s="22" t="str">
        <f>+IF('Exportación por envase'!L32="","",'Exportación por envase'!L32)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 t="str">
        <f>+IF('Exportación por envase'!K15="","",'Exportación por envase'!K15)</f>
        <v/>
      </c>
      <c r="Q44" s="21" t="str">
        <f>+IF('Exportación por envase'!L15="","",'Exportación por envase'!L15)</f>
        <v/>
      </c>
      <c r="R44" s="20">
        <f>+IF('Exportación por envase'!J33="","",'Exportación por envase'!J33)</f>
        <v>4.0599999999999996</v>
      </c>
      <c r="S44" s="20" t="str">
        <f>+IF('Exportación por envase'!K33="","",'Exportación por envase'!K33)</f>
        <v/>
      </c>
      <c r="T44" s="22" t="str">
        <f>+IF('Exportación por envase'!L33="","",'Exportación por envase'!L33)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 t="str">
        <f>+IF('Exportación por envase'!K16="","",'Exportación por envase'!K16)</f>
        <v/>
      </c>
      <c r="Q45" s="21" t="str">
        <f>+IF('Exportación por envase'!L16="","",'Exportación por envase'!L16)</f>
        <v/>
      </c>
      <c r="R45" s="20">
        <f>+IF('Exportación por envase'!J34="","",'Exportación por envase'!J34)</f>
        <v>5.4524999999999997</v>
      </c>
      <c r="S45" s="20" t="str">
        <f>+IF('Exportación por envase'!K34="","",'Exportación por envase'!K34)</f>
        <v/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 t="str">
        <f>+IF('Exportación por envase'!K17="","",'Exportación por envase'!K17)</f>
        <v/>
      </c>
      <c r="Q46" s="21" t="str">
        <f>+IF('Exportación por envase'!L17="","",'Exportación por envase'!L17)</f>
        <v/>
      </c>
      <c r="R46" s="20">
        <f>+IF('Exportación por envase'!J35="","",'Exportación por envase'!J35)</f>
        <v>5.0743999999999998</v>
      </c>
      <c r="S46" s="20" t="str">
        <f>+IF('Exportación por envase'!K35="","",'Exportación por envase'!K35)</f>
        <v/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29" t="s">
        <v>174</v>
      </c>
      <c r="P49" s="330"/>
      <c r="Q49" s="331"/>
      <c r="R49" s="329" t="s">
        <v>175</v>
      </c>
      <c r="S49" s="330"/>
      <c r="T49" s="332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 t="str">
        <f>+IF('Exportación por envase'!K67="","",'Exportación por envase'!K67)</f>
        <v/>
      </c>
      <c r="Q58" s="21" t="str">
        <f>+IF('Exportación por envase'!L67="","",'Exportación por envase'!L67)</f>
        <v/>
      </c>
      <c r="R58" s="26">
        <f>+IF('Exportación por envase'!J85="","",'Exportación por envase'!J85)</f>
        <v>4.8650000000000002</v>
      </c>
      <c r="S58" s="26" t="str">
        <f>+IF('Exportación por envase'!K85="","",'Exportación por envase'!K85)</f>
        <v/>
      </c>
      <c r="T58" s="22" t="str">
        <f>+IF('Exportación por envase'!L85="","",'Exportación por envase'!L85)</f>
        <v/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 t="str">
        <f>+IF('Exportación por envase'!K68="","",'Exportación por envase'!K68)</f>
        <v/>
      </c>
      <c r="Q59" s="21" t="str">
        <f>+IF('Exportación por envase'!L68="","",'Exportación por envase'!L68)</f>
        <v/>
      </c>
      <c r="R59" s="26">
        <f>+IF('Exportación por envase'!J86="","",'Exportación por envase'!J86)</f>
        <v>4.01</v>
      </c>
      <c r="S59" s="26" t="str">
        <f>+IF('Exportación por envase'!K86="","",'Exportación por envase'!K86)</f>
        <v/>
      </c>
      <c r="T59" s="22" t="str">
        <f>+IF('Exportación por envase'!L86="","",'Exportación por envase'!L86)</f>
        <v/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 t="str">
        <f>+IF('Exportación por envase'!K69="","",'Exportación por envase'!K69)</f>
        <v/>
      </c>
      <c r="Q60" s="21" t="str">
        <f>+IF('Exportación por envase'!L69="","",'Exportación por envase'!L69)</f>
        <v/>
      </c>
      <c r="R60" s="26">
        <f>+IF('Exportación por envase'!J87="","",'Exportación por envase'!J87)</f>
        <v>5.8419999999999996</v>
      </c>
      <c r="S60" s="26" t="str">
        <f>+IF('Exportación por envase'!K87="","",'Exportación por envase'!K87)</f>
        <v/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 t="str">
        <f>+IF('Exportación por envase'!K70="","",'Exportación por envase'!K70)</f>
        <v/>
      </c>
      <c r="Q61" s="21" t="str">
        <f>+IF('Exportación por envase'!L70="","",'Exportación por envase'!L70)</f>
        <v/>
      </c>
      <c r="R61" s="26">
        <f>+IF('Exportación por envase'!J88="","",'Exportación por envase'!J88)</f>
        <v>4.7619999999999996</v>
      </c>
      <c r="S61" s="26" t="str">
        <f>+IF('Exportación por envase'!K88="","",'Exportación por envase'!K88)</f>
        <v/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29" t="s">
        <v>174</v>
      </c>
      <c r="P64" s="330"/>
      <c r="Q64" s="331"/>
      <c r="R64" s="329" t="s">
        <v>175</v>
      </c>
      <c r="S64" s="330"/>
      <c r="T64" s="332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 t="str">
        <f>+IF('Exportación por envase'!K120="","",'Exportación por envase'!K120)</f>
        <v/>
      </c>
      <c r="Q73" s="21" t="str">
        <f>+IF('Exportación por envase'!L120="","",'Exportación por envase'!L120)</f>
        <v/>
      </c>
      <c r="R73" s="26">
        <f>+IF('Exportación por envase'!J138="","",'Exportación por envase'!J138)</f>
        <v>0.99672198320016392</v>
      </c>
      <c r="S73" s="26" t="str">
        <f>+IF('Exportación por envase'!K138="","",'Exportación por envase'!K138)</f>
        <v/>
      </c>
      <c r="T73" s="22" t="str">
        <f>+IF('Exportación por envase'!L138="","",'Exportación por envase'!L138)</f>
        <v/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 t="str">
        <f>+IF('Exportación por envase'!K121="","",'Exportación por envase'!K121)</f>
        <v/>
      </c>
      <c r="Q74" s="21" t="str">
        <f>+IF('Exportación por envase'!L121="","",'Exportación por envase'!L121)</f>
        <v/>
      </c>
      <c r="R74" s="26">
        <f>+IF('Exportación por envase'!J139="","",'Exportación por envase'!J139)</f>
        <v>0.98768472906403948</v>
      </c>
      <c r="S74" s="26" t="str">
        <f>+IF('Exportación por envase'!K139="","",'Exportación por envase'!K139)</f>
        <v/>
      </c>
      <c r="T74" s="22" t="str">
        <f>+IF('Exportación por envase'!L139="","",'Exportación por envase'!L139)</f>
        <v/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 t="str">
        <f>+IF('Exportación por envase'!K122="","",'Exportación por envase'!K122)</f>
        <v/>
      </c>
      <c r="Q75" s="21" t="str">
        <f>+IF('Exportación por envase'!L122="","",'Exportación por envase'!L122)</f>
        <v/>
      </c>
      <c r="R75" s="26">
        <f>+IF('Exportación por envase'!J140="","",'Exportación por envase'!J140)</f>
        <v>1.0714351215038973</v>
      </c>
      <c r="S75" s="26" t="str">
        <f>+IF('Exportación por envase'!K140="","",'Exportación por envase'!K140)</f>
        <v/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 t="str">
        <f>+IF('Exportación por envase'!K123="","",'Exportación por envase'!K123)</f>
        <v/>
      </c>
      <c r="Q76" s="21" t="str">
        <f>+IF('Exportación por envase'!L123="","",'Exportación por envase'!L123)</f>
        <v/>
      </c>
      <c r="R76" s="26">
        <f>+IF('Exportación por envase'!J141="","",'Exportación por envase'!J141)</f>
        <v>0.93843607125965622</v>
      </c>
      <c r="S76" s="26" t="str">
        <f>+IF('Exportación por envase'!K141="","",'Exportación por envase'!K141)</f>
        <v/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29" t="s">
        <v>178</v>
      </c>
      <c r="M79" s="330"/>
      <c r="N79" s="331"/>
      <c r="O79" s="329" t="s">
        <v>179</v>
      </c>
      <c r="P79" s="330"/>
      <c r="Q79" s="335"/>
      <c r="R79" s="336" t="s">
        <v>180</v>
      </c>
      <c r="S79" s="330"/>
      <c r="T79" s="332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 t="str">
        <f>+IF('Exportación por varietal'!K14="","",'Exportación por varietal'!K14)</f>
        <v/>
      </c>
      <c r="N88" s="21" t="str">
        <f>+IF('Exportación por varietal'!L14="","",'Exportación por varietal'!L14)</f>
        <v/>
      </c>
      <c r="O88" s="203">
        <f>+IF('Exportación por varietal'!J32="","",'Exportación por varietal'!J32)</f>
        <v>1.6415999999999999</v>
      </c>
      <c r="P88" s="203" t="str">
        <f>+IF('Exportación por varietal'!K32="","",'Exportación por varietal'!K32)</f>
        <v/>
      </c>
      <c r="Q88" s="21" t="str">
        <f>+IF('Exportación por varietal'!L32="","",'Exportación por varietal'!L32)</f>
        <v/>
      </c>
      <c r="R88" s="203">
        <f>+IF('Exportación por varietal'!J104="","",'Exportación por varietal'!J104)</f>
        <v>1.0489999999999999</v>
      </c>
      <c r="S88" s="203" t="str">
        <f>+IF('Exportación por varietal'!K104="","",'Exportación por varietal'!K104)</f>
        <v/>
      </c>
      <c r="T88" s="22" t="str">
        <f>+IF('Exportación por varietal'!L104="","",'Exportación por varietal'!L104)</f>
        <v/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 t="str">
        <f>+IF('Exportación por varietal'!K15="","",'Exportación por varietal'!K15)</f>
        <v/>
      </c>
      <c r="N89" s="21" t="str">
        <f>+IF('Exportación por varietal'!L15="","",'Exportación por varietal'!L15)</f>
        <v/>
      </c>
      <c r="O89" s="203">
        <f>+IF('Exportación por varietal'!J33="","",'Exportación por varietal'!J33)</f>
        <v>1.5530999999999999</v>
      </c>
      <c r="P89" s="203" t="str">
        <f>+IF('Exportación por varietal'!K33="","",'Exportación por varietal'!K33)</f>
        <v/>
      </c>
      <c r="Q89" s="21" t="str">
        <f>+IF('Exportación por varietal'!L33="","",'Exportación por varietal'!L33)</f>
        <v/>
      </c>
      <c r="R89" s="203">
        <f>+IF('Exportación por varietal'!J105="","",'Exportación por varietal'!J105)</f>
        <v>0.7984</v>
      </c>
      <c r="S89" s="203" t="str">
        <f>+IF('Exportación por varietal'!K105="","",'Exportación por varietal'!K105)</f>
        <v/>
      </c>
      <c r="T89" s="22" t="str">
        <f>+IF('Exportación por varietal'!L105="","",'Exportación por varietal'!L105)</f>
        <v/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 t="str">
        <f>+IF('Exportación por varietal'!K16="","",'Exportación por varietal'!K16)</f>
        <v/>
      </c>
      <c r="N90" s="21" t="str">
        <f>+IF('Exportación por varietal'!L16="","",'Exportación por varietal'!L16)</f>
        <v/>
      </c>
      <c r="O90" s="203">
        <f>+IF('Exportación por varietal'!J34="","",'Exportación por varietal'!J34)</f>
        <v>1.4677</v>
      </c>
      <c r="P90" s="203" t="str">
        <f>+IF('Exportación por varietal'!K34="","",'Exportación por varietal'!K34)</f>
        <v/>
      </c>
      <c r="Q90" s="21" t="str">
        <f>+IF('Exportación por varietal'!L34="","",'Exportación por varietal'!L34)</f>
        <v/>
      </c>
      <c r="R90" s="203">
        <f>+IF('Exportación por varietal'!J106="","",'Exportación por varietal'!J106)</f>
        <v>1.0439000000000001</v>
      </c>
      <c r="S90" s="203" t="str">
        <f>+IF('Exportación por varietal'!K106="","",'Exportación por varietal'!K106)</f>
        <v/>
      </c>
      <c r="T90" s="22" t="str">
        <f>+IF('Exportación por varietal'!L106="","",'Exportación por varietal'!L106)</f>
        <v/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29" t="s">
        <v>178</v>
      </c>
      <c r="M94" s="330"/>
      <c r="N94" s="331"/>
      <c r="O94" s="329" t="s">
        <v>179</v>
      </c>
      <c r="P94" s="330"/>
      <c r="Q94" s="335"/>
      <c r="R94" s="336" t="s">
        <v>180</v>
      </c>
      <c r="S94" s="330"/>
      <c r="T94" s="332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 t="str">
        <f>+IF('Exportación por varietal'!K175="","",'Exportación por varietal'!K175)</f>
        <v/>
      </c>
      <c r="N103" s="21" t="str">
        <f>+IF('Exportación por varietal'!L175="","",'Exportación por varietal'!L175)</f>
        <v/>
      </c>
      <c r="O103" s="203">
        <f>+IF('Exportación por varietal'!J193="","",'Exportación por varietal'!J193)</f>
        <v>6.327</v>
      </c>
      <c r="P103" s="203" t="str">
        <f>+IF('Exportación por varietal'!K193="","",'Exportación por varietal'!K193)</f>
        <v/>
      </c>
      <c r="Q103" s="21" t="str">
        <f>+IF('Exportación por varietal'!L193="","",'Exportación por varietal'!L193)</f>
        <v/>
      </c>
      <c r="R103" s="203">
        <f>+IF('Exportación por varietal'!J265="","",'Exportación por varietal'!J265)</f>
        <v>4.0250000000000004</v>
      </c>
      <c r="S103" s="203" t="str">
        <f>+IF('Exportación por varietal'!K265="","",'Exportación por varietal'!K265)</f>
        <v/>
      </c>
      <c r="T103" s="22" t="str">
        <f>+IF('Exportación por varietal'!L265="","",'Exportación por varietal'!L265)</f>
        <v/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 t="str">
        <f>+IF('Exportación por varietal'!K176="","",'Exportación por varietal'!K176)</f>
        <v/>
      </c>
      <c r="N104" s="21" t="str">
        <f>+IF('Exportación por varietal'!L176="","",'Exportación por varietal'!L176)</f>
        <v/>
      </c>
      <c r="O104" s="203">
        <f>+IF('Exportación por varietal'!J194="","",'Exportación por varietal'!J194)</f>
        <v>5.7370000000000001</v>
      </c>
      <c r="P104" s="203" t="str">
        <f>+IF('Exportación por varietal'!K194="","",'Exportación por varietal'!K194)</f>
        <v/>
      </c>
      <c r="Q104" s="21" t="str">
        <f>+IF('Exportación por varietal'!L194="","",'Exportación por varietal'!L194)</f>
        <v/>
      </c>
      <c r="R104" s="203">
        <f>+IF('Exportación por varietal'!J266="","",'Exportación por varietal'!J266)</f>
        <v>3.1829999999999998</v>
      </c>
      <c r="S104" s="203" t="str">
        <f>+IF('Exportación por varietal'!K266="","",'Exportación por varietal'!K266)</f>
        <v/>
      </c>
      <c r="T104" s="22" t="str">
        <f>+IF('Exportación por varietal'!L266="","",'Exportación por varietal'!L266)</f>
        <v/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 t="str">
        <f>+IF('Exportación por varietal'!K177="","",'Exportación por varietal'!K177)</f>
        <v/>
      </c>
      <c r="N105" s="21" t="str">
        <f>+IF('Exportación por varietal'!L177="","",'Exportación por varietal'!L177)</f>
        <v/>
      </c>
      <c r="O105" s="203">
        <f>+IF('Exportación por varietal'!J195="","",'Exportación por varietal'!J195)</f>
        <v>5.9749999999999996</v>
      </c>
      <c r="P105" s="203" t="str">
        <f>+IF('Exportación por varietal'!K195="","",'Exportación por varietal'!K195)</f>
        <v/>
      </c>
      <c r="Q105" s="21" t="str">
        <f>+IF('Exportación por varietal'!L195="","",'Exportación por varietal'!L195)</f>
        <v/>
      </c>
      <c r="R105" s="203">
        <f>+IF('Exportación por varietal'!J267="","",'Exportación por varietal'!J267)</f>
        <v>4.3440000000000003</v>
      </c>
      <c r="S105" s="203" t="str">
        <f>+IF('Exportación por varietal'!K267="","",'Exportación por varietal'!K267)</f>
        <v/>
      </c>
      <c r="T105" s="22" t="str">
        <f>+IF('Exportación por varietal'!L267="","",'Exportación por varietal'!L267)</f>
        <v/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29" t="s">
        <v>181</v>
      </c>
      <c r="D124" s="330"/>
      <c r="E124" s="331"/>
      <c r="F124" s="329" t="s">
        <v>182</v>
      </c>
      <c r="G124" s="330"/>
      <c r="H124" s="335"/>
      <c r="I124" s="336" t="s">
        <v>183</v>
      </c>
      <c r="J124" s="330"/>
      <c r="K124" s="337"/>
      <c r="L124" s="338" t="s">
        <v>184</v>
      </c>
      <c r="M124" s="330"/>
      <c r="N124" s="337"/>
      <c r="O124" s="338" t="s">
        <v>185</v>
      </c>
      <c r="P124" s="330"/>
      <c r="Q124" s="337"/>
      <c r="R124" s="338" t="s">
        <v>186</v>
      </c>
      <c r="S124" s="330"/>
      <c r="T124" s="332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 t="str">
        <f>+IF('Exportación por país'!K13="","",'Exportación por país'!K13)</f>
        <v/>
      </c>
      <c r="E132" s="21" t="str">
        <f>+IF('Exportación por país'!L13="","",'Exportación por país'!L13)</f>
        <v/>
      </c>
      <c r="F132" s="203">
        <f>+IF('Exportación por país'!J31="","",'Exportación por país'!J31)</f>
        <v>5.9931640000000002</v>
      </c>
      <c r="G132" s="203" t="str">
        <f>+IF('Exportación por país'!K31="","",'Exportación por país'!K31)</f>
        <v/>
      </c>
      <c r="H132" s="21" t="str">
        <f>+IF('Exportación por país'!L31="","",'Exportación por país'!L31)</f>
        <v/>
      </c>
      <c r="I132" s="203">
        <f>+IF('Exportación por país'!J49="","",'Exportación por país'!J49)</f>
        <v>1.3789039999999999</v>
      </c>
      <c r="J132" s="203" t="str">
        <f>+IF('Exportación por país'!K49="","",'Exportación por país'!K49)</f>
        <v/>
      </c>
      <c r="K132" s="21" t="str">
        <f>+IF('Exportación por país'!L49="","",'Exportación por país'!L49)</f>
        <v/>
      </c>
      <c r="L132" s="203">
        <f>+IF('Exportación por país'!J67="","",'Exportación por país'!J67)</f>
        <v>2.915972</v>
      </c>
      <c r="M132" s="203" t="str">
        <f>+IF('Exportación por país'!K67="","",'Exportación por país'!K67)</f>
        <v/>
      </c>
      <c r="N132" s="21" t="str">
        <f>+IF('Exportación por país'!L67="","",'Exportación por país'!L67)</f>
        <v/>
      </c>
      <c r="O132" s="203">
        <f>+IF('Exportación por país'!J85="","",'Exportación por país'!J85)</f>
        <v>0.67564999999999997</v>
      </c>
      <c r="P132" s="203" t="str">
        <f>+IF('Exportación por país'!K85="","",'Exportación por país'!K85)</f>
        <v/>
      </c>
      <c r="Q132" s="21" t="str">
        <f>+IF('Exportación por país'!L85="","",'Exportación por país'!L85)</f>
        <v/>
      </c>
      <c r="R132" s="203">
        <f>+IF('Exportación por país'!J103="","",'Exportación por país'!J103)</f>
        <v>0.17022799999999999</v>
      </c>
      <c r="S132" s="203" t="str">
        <f>+IF('Exportación por país'!K103="","",'Exportación por país'!K103)</f>
        <v/>
      </c>
      <c r="T132" s="22" t="str">
        <f>+IF('Exportación por país'!L103="","",'Exportación por país'!L103)</f>
        <v/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 t="str">
        <f>+IF('Exportación por país'!K14="","",'Exportación por país'!K14)</f>
        <v/>
      </c>
      <c r="E133" s="21" t="str">
        <f>+IF('Exportación por país'!L14="","",'Exportación por país'!L14)</f>
        <v/>
      </c>
      <c r="F133" s="203">
        <f>+IF('Exportación por país'!J32="","",'Exportación por país'!J32)</f>
        <v>6.0082230000000001</v>
      </c>
      <c r="G133" s="203" t="str">
        <f>+IF('Exportación por país'!K32="","",'Exportación por país'!K32)</f>
        <v/>
      </c>
      <c r="H133" s="21" t="str">
        <f>+IF('Exportación por país'!L32="","",'Exportación por país'!L32)</f>
        <v/>
      </c>
      <c r="I133" s="203">
        <f>+IF('Exportación por país'!J50="","",'Exportación por país'!J50)</f>
        <v>1.489906</v>
      </c>
      <c r="J133" s="203" t="str">
        <f>+IF('Exportación por país'!K50="","",'Exportación por país'!K50)</f>
        <v/>
      </c>
      <c r="K133" s="21" t="str">
        <f>+IF('Exportación por país'!L50="","",'Exportación por país'!L50)</f>
        <v/>
      </c>
      <c r="L133" s="203">
        <f>+IF('Exportación por país'!J68="","",'Exportación por país'!J68)</f>
        <v>2.461131</v>
      </c>
      <c r="M133" s="203" t="str">
        <f>+IF('Exportación por país'!K68="","",'Exportación por país'!K68)</f>
        <v/>
      </c>
      <c r="N133" s="21" t="str">
        <f>+IF('Exportación por país'!L68="","",'Exportación por país'!L68)</f>
        <v/>
      </c>
      <c r="O133" s="203">
        <f>+IF('Exportación por país'!J86="","",'Exportación por país'!J86)</f>
        <v>0.32260499999999998</v>
      </c>
      <c r="P133" s="203" t="str">
        <f>+IF('Exportación por país'!K86="","",'Exportación por país'!K86)</f>
        <v/>
      </c>
      <c r="Q133" s="21" t="str">
        <f>+IF('Exportación por país'!L86="","",'Exportación por país'!L86)</f>
        <v/>
      </c>
      <c r="R133" s="203">
        <f>+IF('Exportación por país'!J104="","",'Exportación por país'!J104)</f>
        <v>0.16484199999999999</v>
      </c>
      <c r="S133" s="203" t="str">
        <f>+IF('Exportación por país'!K104="","",'Exportación por país'!K104)</f>
        <v/>
      </c>
      <c r="T133" s="22" t="str">
        <f>+IF('Exportación por país'!L104="","",'Exportación por país'!L104)</f>
        <v/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 t="str">
        <f>+IF('Exportación por país'!K15="","",'Exportación por país'!K15)</f>
        <v/>
      </c>
      <c r="E134" s="21" t="str">
        <f>+IF('Exportación por país'!L15="","",'Exportación por país'!L15)</f>
        <v/>
      </c>
      <c r="F134" s="203">
        <f>+IF('Exportación por país'!J33="","",'Exportación por país'!J33)</f>
        <v>4.2256619999999998</v>
      </c>
      <c r="G134" s="203" t="str">
        <f>+IF('Exportación por país'!K33="","",'Exportación por país'!K33)</f>
        <v/>
      </c>
      <c r="H134" s="21" t="str">
        <f>+IF('Exportación por país'!L33="","",'Exportación por país'!L33)</f>
        <v/>
      </c>
      <c r="I134" s="203">
        <f>+IF('Exportación por país'!J51="","",'Exportación por país'!J51)</f>
        <v>1.168925</v>
      </c>
      <c r="J134" s="203" t="str">
        <f>+IF('Exportación por país'!K51="","",'Exportación por país'!K51)</f>
        <v/>
      </c>
      <c r="K134" s="21" t="str">
        <f>+IF('Exportación por país'!L51="","",'Exportación por país'!L51)</f>
        <v/>
      </c>
      <c r="L134" s="203">
        <f>+IF('Exportación por país'!J69="","",'Exportación por país'!J69)</f>
        <v>3.4218549999999999</v>
      </c>
      <c r="M134" s="203" t="str">
        <f>+IF('Exportación por país'!K69="","",'Exportación por país'!K69)</f>
        <v/>
      </c>
      <c r="N134" s="21" t="str">
        <f>+IF('Exportación por país'!L69="","",'Exportación por país'!L69)</f>
        <v/>
      </c>
      <c r="O134" s="203">
        <f>+IF('Exportación por país'!J87="","",'Exportación por país'!J87)</f>
        <v>0.39812399999999998</v>
      </c>
      <c r="P134" s="203" t="str">
        <f>+IF('Exportación por país'!K87="","",'Exportación por país'!K87)</f>
        <v/>
      </c>
      <c r="Q134" s="21" t="str">
        <f>+IF('Exportación por país'!L87="","",'Exportación por país'!L87)</f>
        <v/>
      </c>
      <c r="R134" s="203">
        <f>+IF('Exportación por país'!J105="","",'Exportación por país'!J105)</f>
        <v>0.18828500000000001</v>
      </c>
      <c r="S134" s="203" t="str">
        <f>+IF('Exportación por país'!K105="","",'Exportación por país'!K105)</f>
        <v/>
      </c>
      <c r="T134" s="22" t="str">
        <f>+IF('Exportación por país'!L105="","",'Exportación por país'!L105)</f>
        <v/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 t="str">
        <f>+IF('Exportación por país'!K16="","",'Exportación por país'!K16)</f>
        <v/>
      </c>
      <c r="E135" s="21" t="str">
        <f>+IF('Exportación por país'!L16="","",'Exportación por país'!L16)</f>
        <v/>
      </c>
      <c r="F135" s="203">
        <f>+IF('Exportación por país'!J34="","",'Exportación por país'!J34)</f>
        <v>4.6114329999999999</v>
      </c>
      <c r="G135" s="203" t="str">
        <f>+IF('Exportación por país'!K34="","",'Exportación por país'!K34)</f>
        <v/>
      </c>
      <c r="H135" s="21" t="str">
        <f>+IF('Exportación por país'!L34="","",'Exportación por país'!L34)</f>
        <v/>
      </c>
      <c r="I135" s="203">
        <f>+IF('Exportación por país'!J52="","",'Exportación por país'!J52)</f>
        <v>1.224936</v>
      </c>
      <c r="J135" s="203" t="str">
        <f>+IF('Exportación por país'!K52="","",'Exportación por país'!K52)</f>
        <v/>
      </c>
      <c r="K135" s="21" t="str">
        <f>+IF('Exportación por país'!L52="","",'Exportación por país'!L52)</f>
        <v/>
      </c>
      <c r="L135" s="203">
        <f>+IF('Exportación por país'!J70="","",'Exportación por país'!J70)</f>
        <v>2.4139059999999999</v>
      </c>
      <c r="M135" s="203" t="str">
        <f>+IF('Exportación por país'!K70="","",'Exportación por país'!K70)</f>
        <v/>
      </c>
      <c r="N135" s="21" t="str">
        <f>+IF('Exportación por país'!Y70="","",'Exportación por país'!Y70)</f>
        <v/>
      </c>
      <c r="O135" s="203">
        <f>+IF('Exportación por país'!J88="","",'Exportación por país'!J88)</f>
        <v>0.72120099999999998</v>
      </c>
      <c r="P135" s="203" t="str">
        <f>+IF('Exportación por país'!K88="","",'Exportación por país'!K88)</f>
        <v/>
      </c>
      <c r="Q135" s="21" t="str">
        <f>+IF('Exportación por país'!L88="","",'Exportación por país'!L88)</f>
        <v/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29" t="s">
        <v>181</v>
      </c>
      <c r="D152" s="330"/>
      <c r="E152" s="331"/>
      <c r="F152" s="329" t="s">
        <v>182</v>
      </c>
      <c r="G152" s="330"/>
      <c r="H152" s="335"/>
      <c r="I152" s="336" t="s">
        <v>183</v>
      </c>
      <c r="J152" s="330"/>
      <c r="K152" s="337"/>
      <c r="L152" s="338" t="s">
        <v>184</v>
      </c>
      <c r="M152" s="330"/>
      <c r="N152" s="337"/>
      <c r="O152" s="338" t="s">
        <v>185</v>
      </c>
      <c r="P152" s="330"/>
      <c r="Q152" s="337"/>
      <c r="R152" s="338" t="s">
        <v>186</v>
      </c>
      <c r="S152" s="330"/>
      <c r="T152" s="332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 t="str">
        <f>+IF('Exportación por país'!K192="","",'Exportación por país'!K192)</f>
        <v/>
      </c>
      <c r="E160" s="21" t="str">
        <f>+IF('Exportación por país'!L192="","",'Exportación por país'!L192)</f>
        <v/>
      </c>
      <c r="F160" s="203">
        <f>+IF('Exportación por país'!J210="","",'Exportación por país'!J210)</f>
        <v>11.836</v>
      </c>
      <c r="G160" s="203" t="str">
        <f>+IF('Exportación por país'!K210="","",'Exportación por país'!K210)</f>
        <v/>
      </c>
      <c r="H160" s="21" t="str">
        <f>+IF('Exportación por país'!L210="","",'Exportación por país'!L210)</f>
        <v/>
      </c>
      <c r="I160" s="203">
        <f>+IF('Exportación por país'!J228="","",'Exportación por país'!J228)</f>
        <v>5.4329999999999998</v>
      </c>
      <c r="J160" s="203" t="str">
        <f>+IF('Exportación por país'!K228="","",'Exportación por país'!K228)</f>
        <v/>
      </c>
      <c r="K160" s="21" t="str">
        <f>+IF('Exportación por país'!L228="","",'Exportación por país'!L228)</f>
        <v/>
      </c>
      <c r="L160" s="203">
        <f>+IF('Exportación por país'!J246="","",'Exportación por país'!J246)</f>
        <v>10.634</v>
      </c>
      <c r="M160" s="203" t="str">
        <f>+IF('Exportación por país'!K246="","",'Exportación por país'!K246)</f>
        <v/>
      </c>
      <c r="N160" s="21" t="str">
        <f>+IF('Exportación por país'!L246="","",'Exportación por país'!L246)</f>
        <v/>
      </c>
      <c r="O160" s="203">
        <f>+IF('Exportación por país'!J264="","",'Exportación por país'!J264)</f>
        <v>2.5129999999999999</v>
      </c>
      <c r="P160" s="203" t="str">
        <f>+IF('Exportación por país'!K264="","",'Exportación por país'!K264)</f>
        <v/>
      </c>
      <c r="Q160" s="21" t="str">
        <f>+IF('Exportación por país'!L264="","",'Exportación por país'!L264)</f>
        <v/>
      </c>
      <c r="R160" s="203">
        <f>+IF('Exportación por país'!J282="","",'Exportación por país'!J282)</f>
        <v>0.86699999999999999</v>
      </c>
      <c r="S160" s="203" t="str">
        <f>+IF('Exportación por país'!K282="","",'Exportación por país'!K282)</f>
        <v/>
      </c>
      <c r="T160" s="22" t="str">
        <f>+IF('Exportación por país'!L282="","",'Exportación por país'!L282)</f>
        <v/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 t="str">
        <f>+IF('Exportación por país'!K193="","",'Exportación por país'!K193)</f>
        <v/>
      </c>
      <c r="E161" s="21" t="str">
        <f>+IF('Exportación por país'!L193="","",'Exportación por país'!L193)</f>
        <v/>
      </c>
      <c r="F161" s="203">
        <f>+IF('Exportación por país'!J211="","",'Exportación por país'!J211)</f>
        <v>11.483000000000001</v>
      </c>
      <c r="G161" s="203" t="str">
        <f>+IF('Exportación por país'!K211="","",'Exportación por país'!K211)</f>
        <v/>
      </c>
      <c r="H161" s="21" t="str">
        <f>+IF('Exportación por país'!L211="","",'Exportación por país'!L211)</f>
        <v/>
      </c>
      <c r="I161" s="203">
        <f>+IF('Exportación por país'!J229="","",'Exportación por país'!J229)</f>
        <v>4.92</v>
      </c>
      <c r="J161" s="203" t="str">
        <f>+IF('Exportación por país'!K229="","",'Exportación por país'!K229)</f>
        <v/>
      </c>
      <c r="K161" s="21" t="str">
        <f>+IF('Exportación por país'!L229="","",'Exportación por país'!L229)</f>
        <v/>
      </c>
      <c r="L161" s="203">
        <f>+IF('Exportación por país'!J247="","",'Exportación por país'!J247)</f>
        <v>9.5289999999999999</v>
      </c>
      <c r="M161" s="203" t="str">
        <f>+IF('Exportación por país'!K247="","",'Exportación por país'!K247)</f>
        <v/>
      </c>
      <c r="N161" s="21" t="str">
        <f>+IF('Exportación por país'!L247="","",'Exportación por país'!L247)</f>
        <v/>
      </c>
      <c r="O161" s="203">
        <f>+IF('Exportación por país'!J265="","",'Exportación por país'!J265)</f>
        <v>1.4059999999999999</v>
      </c>
      <c r="P161" s="203" t="str">
        <f>+IF('Exportación por país'!K265="","",'Exportación por país'!K265)</f>
        <v/>
      </c>
      <c r="Q161" s="21" t="str">
        <f>+IF('Exportación por país'!L265="","",'Exportación por país'!L265)</f>
        <v/>
      </c>
      <c r="R161" s="203">
        <f>+IF('Exportación por país'!J283="","",'Exportación por país'!J283)</f>
        <v>1.0740000000000001</v>
      </c>
      <c r="S161" s="203" t="str">
        <f>+IF('Exportación por país'!K283="","",'Exportación por país'!K283)</f>
        <v/>
      </c>
      <c r="T161" s="22" t="str">
        <f>+IF('Exportación por país'!L283="","",'Exportación por país'!L283)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 t="str">
        <f>+IF('Exportación por país'!K194="","",'Exportación por país'!K194)</f>
        <v/>
      </c>
      <c r="E162" s="21" t="str">
        <f>+IF('Exportación por país'!L194="","",'Exportación por país'!L194)</f>
        <v/>
      </c>
      <c r="F162" s="203">
        <f>+IF('Exportación por país'!J212="","",'Exportación por país'!J212)</f>
        <v>10.121</v>
      </c>
      <c r="G162" s="203" t="str">
        <f>+IF('Exportación por país'!K212="","",'Exportación por país'!K212)</f>
        <v/>
      </c>
      <c r="H162" s="21" t="str">
        <f>+IF('Exportación por país'!L212="","",'Exportación por país'!L212)</f>
        <v/>
      </c>
      <c r="I162" s="203">
        <f>+IF('Exportación por país'!J230="","",'Exportación por país'!J230)</f>
        <v>5.3410000000000002</v>
      </c>
      <c r="J162" s="203" t="str">
        <f>+IF('Exportación por país'!K230="","",'Exportación por país'!K230)</f>
        <v/>
      </c>
      <c r="K162" s="21" t="str">
        <f>+IF('Exportación por país'!L230="","",'Exportación por país'!L230)</f>
        <v/>
      </c>
      <c r="L162" s="203">
        <f>+IF('Exportación por país'!J248="","",'Exportación por país'!J248)</f>
        <v>12.007</v>
      </c>
      <c r="M162" s="203" t="str">
        <f>+IF('Exportación por país'!K248="","",'Exportación por país'!K248)</f>
        <v/>
      </c>
      <c r="N162" s="21" t="str">
        <f>+IF('Exportación por país'!L248="","",'Exportación por país'!L248)</f>
        <v/>
      </c>
      <c r="O162" s="203">
        <f>+IF('Exportación por país'!J266="","",'Exportación por país'!J266)</f>
        <v>1.5029999999999999</v>
      </c>
      <c r="P162" s="203" t="str">
        <f>+IF('Exportación por país'!K266="","",'Exportación por país'!K266)</f>
        <v/>
      </c>
      <c r="Q162" s="21" t="str">
        <f>+IF('Exportación por país'!L266="","",'Exportación por país'!L266)</f>
        <v/>
      </c>
      <c r="R162" s="203">
        <f>+IF('Exportación por país'!J284="","",'Exportación por país'!J284)</f>
        <v>1.335</v>
      </c>
      <c r="S162" s="203" t="str">
        <f>+IF('Exportación por país'!K284="","",'Exportación por país'!K284)</f>
        <v/>
      </c>
      <c r="T162" s="22" t="str">
        <f>+IF('Exportación por país'!L284="","",'Exportación por país'!L284)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 t="str">
        <f>+IF('Exportación por país'!K195="","",'Exportación por país'!K195)</f>
        <v/>
      </c>
      <c r="E163" s="21" t="str">
        <f>+IF('Exportación por país'!L195="","",'Exportación por país'!L195)</f>
        <v/>
      </c>
      <c r="F163" s="203">
        <f>+IF('Exportación por país'!J213="","",'Exportación por país'!J213)</f>
        <v>10.327</v>
      </c>
      <c r="G163" s="203" t="str">
        <f>+IF('Exportación por país'!K213="","",'Exportación por país'!K213)</f>
        <v/>
      </c>
      <c r="H163" s="21" t="str">
        <f>+IF('Exportación por país'!L213="","",'Exportación por país'!L213)</f>
        <v/>
      </c>
      <c r="I163" s="203">
        <f>+IF('Exportación por país'!J231="","",'Exportación por país'!J231)</f>
        <v>6.758</v>
      </c>
      <c r="J163" s="203" t="str">
        <f>+IF('Exportación por país'!K231="","",'Exportación por país'!K231)</f>
        <v/>
      </c>
      <c r="K163" s="21" t="str">
        <f>+IF('Exportación por país'!L231="","",'Exportación por país'!L231)</f>
        <v/>
      </c>
      <c r="L163" s="203">
        <f>+IF('Exportación por país'!J249="","",'Exportación por país'!J249)</f>
        <v>9.4149999999999991</v>
      </c>
      <c r="M163" s="203" t="str">
        <f>+IF('Exportación por país'!K249="","",'Exportación por país'!K249)</f>
        <v/>
      </c>
      <c r="N163" s="21" t="str">
        <f>+IF('Exportación por país'!L249="","",'Exportación por país'!L249)</f>
        <v/>
      </c>
      <c r="O163" s="203">
        <f>+IF('Exportación por país'!J267="","",'Exportación por país'!J267)</f>
        <v>2.754</v>
      </c>
      <c r="P163" s="203" t="str">
        <f>+IF('Exportación por país'!K267="","",'Exportación por país'!K267)</f>
        <v/>
      </c>
      <c r="Q163" s="21" t="str">
        <f>+IF('Exportación por país'!L267="","",'Exportación por país'!L267)</f>
        <v/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219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 t="str">
        <f>+IF('Venta total por tipo'!K67="","",'Venta total por tipo'!K67)</f>
        <v/>
      </c>
      <c r="Q13" s="22" t="str">
        <f>+IF('Venta total por tipo'!L67="","",'Venta total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 t="str">
        <f>+IF('Venta total por tipo'!K68="","",'Venta total por tipo'!K68)</f>
        <v/>
      </c>
      <c r="Q14" s="22" t="str">
        <f>+IF('Venta total por tipo'!L68="","",'Venta total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 t="str">
        <f>+IF('Venta total por tipo'!K69="","",'Venta total por tipo'!K69)</f>
        <v/>
      </c>
      <c r="Q15" s="22" t="str">
        <f>+IF('Venta total por tipo'!L69="","",'Venta total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 t="str">
        <f>+IF('Venta total por tipo'!K70="","",'Venta total por tipo'!K70)</f>
        <v/>
      </c>
      <c r="Q16" s="22" t="str">
        <f>+IF('Venta total por tipo'!L70="","",'Venta total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29" t="s">
        <v>162</v>
      </c>
      <c r="P20" s="330"/>
      <c r="Q20" s="332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 t="str">
        <f>+IF('Venta total por tipo'!K13="","",'Venta total por tipo'!K13)</f>
        <v/>
      </c>
      <c r="K28" s="35" t="str">
        <f>+IF('Venta total por tipo'!L13="","",'Venta total por tipo'!L13)</f>
        <v/>
      </c>
      <c r="L28" s="26">
        <f>+IF('Venta total por tipo'!J31="","",'Venta total por tipo'!J31)</f>
        <v>71.596900000000005</v>
      </c>
      <c r="M28" s="26" t="str">
        <f>+IF('Venta total por tipo'!K31="","",'Venta total por tipo'!K31)</f>
        <v/>
      </c>
      <c r="N28" s="35" t="str">
        <f>+IF('Venta total por tipo'!L31="","",'Venta total por tipo'!L31)</f>
        <v/>
      </c>
      <c r="O28" s="26">
        <f>+IF('Venta total por tipo'!J49="","",'Venta total por tipo'!J49)</f>
        <v>2.4796</v>
      </c>
      <c r="P28" s="26" t="str">
        <f>+IF('Venta total por tipo'!K49="","",'Venta total por tipo'!K49)</f>
        <v/>
      </c>
      <c r="Q28" s="22" t="str">
        <f>+IF('Venta total por tipo'!L49="","",'Venta total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 t="str">
        <f>+IF('Venta total por tipo'!K14="","",'Venta total por tipo'!K14)</f>
        <v/>
      </c>
      <c r="K29" s="35" t="str">
        <f>+IF('Venta total por tipo'!L14="","",'Venta total por tipo'!L14)</f>
        <v/>
      </c>
      <c r="L29" s="26">
        <f>+IF('Venta total por tipo'!J32="","",'Venta total por tipo'!J32)</f>
        <v>73.711999999999989</v>
      </c>
      <c r="M29" s="26" t="str">
        <f>+IF('Venta total por tipo'!K32="","",'Venta total por tipo'!K32)</f>
        <v/>
      </c>
      <c r="N29" s="35" t="str">
        <f>+IF('Venta total por tipo'!L32="","",'Venta total por tipo'!L32)</f>
        <v/>
      </c>
      <c r="O29" s="26">
        <f>+IF('Venta total por tipo'!J50="","",'Venta total por tipo'!J50)</f>
        <v>3.2429999999999999</v>
      </c>
      <c r="P29" s="26" t="str">
        <f>+IF('Venta total por tipo'!K50="","",'Venta total por tipo'!K50)</f>
        <v/>
      </c>
      <c r="Q29" s="22" t="str">
        <f>+IF('Venta total por tipo'!L50="","",'Venta total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 t="str">
        <f>+IF('Venta total por tipo'!K15="","",'Venta total por tipo'!K15)</f>
        <v/>
      </c>
      <c r="K30" s="35" t="str">
        <f>+IF('Venta total por tipo'!L15="","",'Venta total por tipo'!L15)</f>
        <v/>
      </c>
      <c r="L30" s="26">
        <f>+IF('Venta total por tipo'!J33="","",'Venta total por tipo'!J33)</f>
        <v>58.314000000000007</v>
      </c>
      <c r="M30" s="26" t="str">
        <f>+IF('Venta total por tipo'!K33="","",'Venta total por tipo'!K33)</f>
        <v/>
      </c>
      <c r="N30" s="35" t="str">
        <f>+IF('Venta total por tipo'!L33="","",'Venta total por tipo'!L33)</f>
        <v/>
      </c>
      <c r="O30" s="26">
        <f>+IF('Venta total por tipo'!J51="","",'Venta total por tipo'!J51)</f>
        <v>4.2716000000000003</v>
      </c>
      <c r="P30" s="26" t="str">
        <f>+IF('Venta total por tipo'!K51="","",'Venta total por tipo'!K51)</f>
        <v/>
      </c>
      <c r="Q30" s="22" t="str">
        <f>+IF('Venta total por tipo'!L51="","",'Venta total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 t="str">
        <f>+IF('Venta total por tipo'!K16="","",'Venta total por tipo'!K16)</f>
        <v/>
      </c>
      <c r="K31" s="35" t="str">
        <f>+IF('Venta total por tipo'!L16="","",'Venta total por tipo'!L16)</f>
        <v/>
      </c>
      <c r="L31" s="26">
        <f>+IF('Venta total por tipo'!J34="","",'Venta total por tipo'!J34)</f>
        <v>63.229799999999997</v>
      </c>
      <c r="M31" s="26" t="str">
        <f>+IF('Venta total por tipo'!K34="","",'Venta total por tipo'!K34)</f>
        <v/>
      </c>
      <c r="N31" s="35" t="str">
        <f>+IF('Venta total por tipo'!L34="","",'Venta total por tipo'!L34)</f>
        <v/>
      </c>
      <c r="O31" s="26">
        <f>+IF('Venta total por tipo'!J52="","",'Venta total por tipo'!J52)</f>
        <v>4.7074000000000007</v>
      </c>
      <c r="P31" s="26" t="str">
        <f>+IF('Venta total por tipo'!K52="","",'Venta total por tipo'!K52)</f>
        <v/>
      </c>
      <c r="Q31" s="22" t="str">
        <f>+IF('Venta total por tipo'!L52="","",'Venta total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R2" s="177" t="s">
        <v>206</v>
      </c>
    </row>
    <row r="3" spans="2:18" ht="6" customHeight="1" x14ac:dyDescent="0.25"/>
    <row r="4" spans="2:18" ht="18.75" customHeight="1" x14ac:dyDescent="0.25">
      <c r="B4" s="333" t="s">
        <v>195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29" t="s">
        <v>196</v>
      </c>
      <c r="L6" s="330"/>
      <c r="M6" s="335"/>
      <c r="N6" s="336" t="s">
        <v>197</v>
      </c>
      <c r="O6" s="330"/>
      <c r="P6" s="332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 t="str">
        <f>+IF('Precio Vino de Traslado'!K14="","",'Precio Vino de Traslado'!K14)</f>
        <v/>
      </c>
      <c r="M15" s="21" t="str">
        <f>+IF('Precio Vino de Traslado'!L14="","",'Precio Vino de Traslado'!L14)</f>
        <v/>
      </c>
      <c r="N15" s="175">
        <f>+IF('Precio Vino de Traslado'!J82="","",'Precio Vino de Traslado'!J82)</f>
        <v>62191.211700434447</v>
      </c>
      <c r="O15" s="175" t="str">
        <f>+IF('Precio Vino de Traslado'!K82="","",'Precio Vino de Traslado'!K82)</f>
        <v/>
      </c>
      <c r="P15" s="22" t="str">
        <f>+IF('Precio Vino de Traslado'!L82="","",'Precio Vino de Traslado'!L82)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 t="str">
        <f>+IF('Precio Vino de Traslado'!K15="","",'Precio Vino de Traslado'!K15)</f>
        <v/>
      </c>
      <c r="M16" s="21" t="str">
        <f>+IF('Precio Vino de Traslado'!L15="","",'Precio Vino de Traslado'!L15)</f>
        <v/>
      </c>
      <c r="N16" s="175">
        <f>+IF('Precio Vino de Traslado'!J83="","",'Precio Vino de Traslado'!J83)</f>
        <v>56699.98397201972</v>
      </c>
      <c r="O16" s="175" t="str">
        <f>+IF('Precio Vino de Traslado'!K83="","",'Precio Vino de Traslado'!K83)</f>
        <v/>
      </c>
      <c r="P16" s="22" t="str">
        <f>+IF('Precio Vino de Traslado'!L83="","",'Precio Vino de Traslado'!L83)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 t="str">
        <f>+IF('Precio Vino de Traslado'!K16="","",'Precio Vino de Traslado'!K16)</f>
        <v/>
      </c>
      <c r="M17" s="21" t="str">
        <f>+IF('Precio Vino de Traslado'!L16="","",'Precio Vino de Traslado'!L16)</f>
        <v/>
      </c>
      <c r="N17" s="175">
        <f>+IF('Precio Vino de Traslado'!J84="","",'Precio Vino de Traslado'!J84)</f>
        <v>56360.319952241211</v>
      </c>
      <c r="O17" s="175" t="str">
        <f>+IF('Precio Vino de Traslado'!K84="","",'Precio Vino de Traslado'!K84)</f>
        <v/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 t="str">
        <f>+IF('Precio Vino de Traslado'!K17="","",'Precio Vino de Traslado'!K17)</f>
        <v/>
      </c>
      <c r="M18" s="21" t="str">
        <f>+IF('Precio Vino de Traslado'!L17="","",'Precio Vino de Traslado'!L17)</f>
        <v/>
      </c>
      <c r="N18" s="175">
        <f>+IF('Precio Vino de Traslado'!J85="","",'Precio Vino de Traslado'!J85)</f>
        <v>51775.097759846722</v>
      </c>
      <c r="O18" s="175" t="str">
        <f>+IF('Precio Vino de Traslado'!K85="","",'Precio Vino de Traslado'!K85)</f>
        <v/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29" t="s">
        <v>198</v>
      </c>
      <c r="L21" s="330"/>
      <c r="M21" s="335"/>
      <c r="N21" s="336" t="s">
        <v>199</v>
      </c>
      <c r="O21" s="330"/>
      <c r="P21" s="332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 t="str">
        <f>+IF('Precio Vino de Traslado'!K48="","",'Precio Vino de Traslado'!K48)</f>
        <v/>
      </c>
      <c r="M30" s="21" t="str">
        <f>+IF('Precio Vino de Traslado'!L48="","",'Precio Vino de Traslado'!L48)</f>
        <v/>
      </c>
      <c r="N30" s="175">
        <f>+IF('Precio Vino de Traslado'!J116="","",'Precio Vino de Traslado'!J116)</f>
        <v>38881.724173747214</v>
      </c>
      <c r="O30" s="175" t="str">
        <f>+IF('Precio Vino de Traslado'!K116="","",'Precio Vino de Traslado'!K116)</f>
        <v/>
      </c>
      <c r="P30" s="22" t="str">
        <f>+IF('Precio Vino de Traslado'!L116="","",'Precio Vino de Traslado'!L116)</f>
        <v/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 t="str">
        <f>+IF('Precio Vino de Traslado'!K49="","",'Precio Vino de Traslado'!K49)</f>
        <v/>
      </c>
      <c r="M31" s="21" t="str">
        <f>+IF('Precio Vino de Traslado'!L49="","",'Precio Vino de Traslado'!L49)</f>
        <v/>
      </c>
      <c r="N31" s="175">
        <f>+IF('Precio Vino de Traslado'!J117="","",'Precio Vino de Traslado'!J117)</f>
        <v>41996.478748415917</v>
      </c>
      <c r="O31" s="175" t="str">
        <f>+IF('Precio Vino de Traslado'!K117="","",'Precio Vino de Traslado'!K117)</f>
        <v/>
      </c>
      <c r="P31" s="22" t="str">
        <f>+IF('Precio Vino de Traslado'!L117="","",'Precio Vino de Traslado'!L117)</f>
        <v/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 t="str">
        <f>+IF('Precio Vino de Traslado'!K50="","",'Precio Vino de Traslado'!K50)</f>
        <v/>
      </c>
      <c r="M32" s="21" t="str">
        <f>+IF('Precio Vino de Traslado'!L50="","",'Precio Vino de Traslado'!L50)</f>
        <v/>
      </c>
      <c r="N32" s="175">
        <f>+IF('Precio Vino de Traslado'!J118="","",'Precio Vino de Traslado'!J118)</f>
        <v>34969.597285970536</v>
      </c>
      <c r="O32" s="175" t="str">
        <f>+IF('Precio Vino de Traslado'!K118="","",'Precio Vino de Traslado'!K118)</f>
        <v/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 t="str">
        <f>+IF('Precio Vino de Traslado'!K51="","",'Precio Vino de Traslado'!K51)</f>
        <v/>
      </c>
      <c r="M33" s="21" t="str">
        <f>+IF('Precio Vino de Traslado'!L51="","",'Precio Vino de Traslado'!L51)</f>
        <v/>
      </c>
      <c r="N33" s="175">
        <f>+IF('Precio Vino de Traslado'!J119="","",'Precio Vino de Traslado'!J119)</f>
        <v>33587.837763480369</v>
      </c>
      <c r="O33" s="175" t="str">
        <f>+IF('Precio Vino de Traslado'!K119="","",'Precio Vino de Traslado'!K119)</f>
        <v/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29" t="s">
        <v>200</v>
      </c>
      <c r="L36" s="330"/>
      <c r="M36" s="335"/>
      <c r="N36" s="336" t="s">
        <v>201</v>
      </c>
      <c r="O36" s="330"/>
      <c r="P36" s="332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 t="str">
        <f>+IF('Precio Vino de Traslado'!K31="","",'Precio Vino de Traslado'!K31)</f>
        <v/>
      </c>
      <c r="M45" s="21" t="str">
        <f>+IF('Precio Vino de Traslado'!L31="","",'Precio Vino de Traslado'!L31)</f>
        <v/>
      </c>
      <c r="N45" s="175">
        <f>+IF('Precio Vino de Traslado'!J99="","",'Precio Vino de Traslado'!J99)</f>
        <v>44215.780754029809</v>
      </c>
      <c r="O45" s="175" t="str">
        <f>+IF('Precio Vino de Traslado'!K99="","",'Precio Vino de Traslado'!K99)</f>
        <v/>
      </c>
      <c r="P45" s="22" t="str">
        <f>+IF('Precio Vino de Traslado'!L99="","",'Precio Vino de Traslado'!L99)</f>
        <v/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 t="str">
        <f>+IF('Precio Vino de Traslado'!K32="","",'Precio Vino de Traslado'!K32)</f>
        <v/>
      </c>
      <c r="M46" s="21" t="str">
        <f>+IF('Precio Vino de Traslado'!L32="","",'Precio Vino de Traslado'!L32)</f>
        <v/>
      </c>
      <c r="N46" s="175">
        <f>+IF('Precio Vino de Traslado'!J100="","",'Precio Vino de Traslado'!J100)</f>
        <v>38539.888762940129</v>
      </c>
      <c r="O46" s="175" t="str">
        <f>+IF('Precio Vino de Traslado'!K100="","",'Precio Vino de Traslado'!K100)</f>
        <v/>
      </c>
      <c r="P46" s="22" t="str">
        <f>+IF('Precio Vino de Traslado'!L100="","",'Precio Vino de Traslado'!L100)</f>
        <v/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 t="str">
        <f>+IF('Precio Vino de Traslado'!K33="","",'Precio Vino de Traslado'!K33)</f>
        <v/>
      </c>
      <c r="M47" s="21" t="str">
        <f>+IF('Precio Vino de Traslado'!L33="","",'Precio Vino de Traslado'!L33)</f>
        <v/>
      </c>
      <c r="N47" s="175">
        <f>+IF('Precio Vino de Traslado'!J101="","",'Precio Vino de Traslado'!J101)</f>
        <v>43518.440464728512</v>
      </c>
      <c r="O47" s="175" t="str">
        <f>+IF('Precio Vino de Traslado'!K101="","",'Precio Vino de Traslado'!K101)</f>
        <v/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 t="str">
        <f>+IF('Precio Vino de Traslado'!K34="","",'Precio Vino de Traslado'!K34)</f>
        <v/>
      </c>
      <c r="M48" s="21" t="str">
        <f>+IF('Precio Vino de Traslado'!L34="","",'Precio Vino de Traslado'!L34)</f>
        <v/>
      </c>
      <c r="N48" s="175">
        <f>+IF('Precio Vino de Traslado'!J102="","",'Precio Vino de Traslado'!J102)</f>
        <v>43990.670034365132</v>
      </c>
      <c r="O48" s="175" t="str">
        <f>+IF('Precio Vino de Traslado'!K102="","",'Precio Vino de Traslado'!K102)</f>
        <v/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29" t="s">
        <v>202</v>
      </c>
      <c r="L51" s="330"/>
      <c r="M51" s="335"/>
      <c r="N51" s="336" t="s">
        <v>203</v>
      </c>
      <c r="O51" s="330"/>
      <c r="P51" s="332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 t="str">
        <f>+IF('Precio Vino de Traslado'!K65="","",'Precio Vino de Traslado'!K65)</f>
        <v/>
      </c>
      <c r="M60" s="21" t="str">
        <f>+IF('Precio Vino de Traslado'!L65="","",'Precio Vino de Traslado'!L65)</f>
        <v/>
      </c>
      <c r="N60" s="175">
        <f>+IF('Precio Vino de Traslado'!J133="","",'Precio Vino de Traslado'!J133)</f>
        <v>53387.978552007597</v>
      </c>
      <c r="O60" s="175" t="str">
        <f>+IF('Precio Vino de Traslado'!K133="","",'Precio Vino de Traslado'!K133)</f>
        <v/>
      </c>
      <c r="P60" s="22" t="str">
        <f>+IF('Precio Vino de Traslado'!L133="","",'Precio Vino de Traslado'!L133)</f>
        <v/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 t="str">
        <f>+IF('Precio Vino de Traslado'!K66="","",'Precio Vino de Traslado'!K66)</f>
        <v/>
      </c>
      <c r="M61" s="21" t="str">
        <f>+IF('Precio Vino de Traslado'!L66="","",'Precio Vino de Traslado'!L66)</f>
        <v/>
      </c>
      <c r="N61" s="175">
        <f>+IF('Precio Vino de Traslado'!J134="","",'Precio Vino de Traslado'!J134)</f>
        <v>46229.888526132519</v>
      </c>
      <c r="O61" s="175" t="str">
        <f>+IF('Precio Vino de Traslado'!K134="","",'Precio Vino de Traslado'!K134)</f>
        <v/>
      </c>
      <c r="P61" s="22" t="str">
        <f>+IF('Precio Vino de Traslado'!L134="","",'Precio Vino de Traslado'!L134)</f>
        <v/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 t="str">
        <f>+IF('Precio Vino de Traslado'!K67="","",'Precio Vino de Traslado'!K67)</f>
        <v/>
      </c>
      <c r="M62" s="21" t="str">
        <f>+IF('Precio Vino de Traslado'!L67="","",'Precio Vino de Traslado'!L67)</f>
        <v/>
      </c>
      <c r="N62" s="175">
        <f>+IF('Precio Vino de Traslado'!J135="","",'Precio Vino de Traslado'!J135)</f>
        <v>48676.425393116508</v>
      </c>
      <c r="O62" s="175" t="str">
        <f>+IF('Precio Vino de Traslado'!K135="","",'Precio Vino de Traslado'!K135)</f>
        <v/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 t="str">
        <f>+IF('Precio Vino de Traslado'!K68="","",'Precio Vino de Traslado'!K68)</f>
        <v/>
      </c>
      <c r="M63" s="21" t="str">
        <f>+IF('Precio Vino de Traslado'!L68="","",'Precio Vino de Traslado'!L68)</f>
        <v/>
      </c>
      <c r="N63" s="175">
        <f>+IF('Precio Vino de Traslado'!J136="","",'Precio Vino de Traslado'!J136)</f>
        <v>45052.612449142172</v>
      </c>
      <c r="O63" s="175" t="str">
        <f>+IF('Precio Vino de Traslado'!K136="","",'Precio Vino de Traslado'!K136)</f>
        <v/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K13" sqref="K13:L13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222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223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/>
      <c r="L13" s="7"/>
      <c r="N13" s="42" t="s">
        <v>4</v>
      </c>
      <c r="O13" s="6">
        <f>+SUM('[1]1.CONSUMO ARGENTINA POR TIPO '!B312:B323)/10000</f>
        <v>211.13736299999999</v>
      </c>
      <c r="P13" s="6">
        <f t="shared" ref="P13:W13" si="11">+SUM(C7:C13)+SUM(B14:B18)</f>
        <v>199.004413</v>
      </c>
      <c r="Q13" s="6">
        <f t="shared" si="11"/>
        <v>188.41370000000001</v>
      </c>
      <c r="R13" s="6">
        <f t="shared" si="11"/>
        <v>203.72030000000001</v>
      </c>
      <c r="S13" s="6">
        <f t="shared" si="11"/>
        <v>232.8355</v>
      </c>
      <c r="T13" s="6">
        <f t="shared" si="11"/>
        <v>260.6019</v>
      </c>
      <c r="U13" s="6">
        <f t="shared" si="11"/>
        <v>261.14600000000002</v>
      </c>
      <c r="V13" s="6">
        <f t="shared" si="11"/>
        <v>238.82940000000002</v>
      </c>
      <c r="W13" s="67">
        <f t="shared" si="11"/>
        <v>229.62510000000003</v>
      </c>
      <c r="X13" s="67"/>
      <c r="Y13" s="78"/>
      <c r="Z13" s="7"/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/>
      <c r="L14" s="7"/>
      <c r="N14" s="42" t="s">
        <v>5</v>
      </c>
      <c r="O14" s="6">
        <f>+SUM('[1]1.CONSUMO ARGENTINA POR TIPO '!B313:B324)/10000</f>
        <v>215.921389</v>
      </c>
      <c r="P14" s="6">
        <f t="shared" ref="P14:W14" si="12">+SUM(C7:C14)+SUM(B15:B18)</f>
        <v>194.26961299999999</v>
      </c>
      <c r="Q14" s="6">
        <f t="shared" si="12"/>
        <v>187.32490000000001</v>
      </c>
      <c r="R14" s="6">
        <f t="shared" si="12"/>
        <v>205.51159999999999</v>
      </c>
      <c r="S14" s="6">
        <f t="shared" si="12"/>
        <v>236.86849999999998</v>
      </c>
      <c r="T14" s="6">
        <f t="shared" si="12"/>
        <v>260.80160000000001</v>
      </c>
      <c r="U14" s="6">
        <f t="shared" si="12"/>
        <v>263.80119999999999</v>
      </c>
      <c r="V14" s="6">
        <f t="shared" si="12"/>
        <v>234.2321</v>
      </c>
      <c r="W14" s="67">
        <f t="shared" si="12"/>
        <v>229.11779999999999</v>
      </c>
      <c r="X14" s="67"/>
      <c r="Y14" s="78"/>
      <c r="Z14" s="7"/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/>
      <c r="L15" s="7"/>
      <c r="N15" s="42" t="s">
        <v>6</v>
      </c>
      <c r="O15" s="6">
        <f>+SUM('[1]1.CONSUMO ARGENTINA POR TIPO '!B314:B325)/10000</f>
        <v>217.43074999999999</v>
      </c>
      <c r="P15" s="6">
        <f t="shared" ref="P15:W15" si="13">+SUM(C7:C15)+SUM(B16:B18)</f>
        <v>188.851913</v>
      </c>
      <c r="Q15" s="6">
        <f t="shared" si="13"/>
        <v>188.43710000000002</v>
      </c>
      <c r="R15" s="6">
        <f t="shared" si="13"/>
        <v>207.65600000000001</v>
      </c>
      <c r="S15" s="6">
        <f t="shared" si="13"/>
        <v>242.81959999999998</v>
      </c>
      <c r="T15" s="6">
        <f t="shared" si="13"/>
        <v>254.67570000000001</v>
      </c>
      <c r="U15" s="6">
        <f t="shared" si="13"/>
        <v>269.57710000000003</v>
      </c>
      <c r="V15" s="6">
        <f t="shared" si="13"/>
        <v>230.30539999999999</v>
      </c>
      <c r="W15" s="67">
        <f t="shared" si="13"/>
        <v>229.70819999999998</v>
      </c>
      <c r="X15" s="37"/>
      <c r="Y15" s="78"/>
      <c r="Z15" s="7"/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14">+SUM(C7:C16)+SUM(B17:B18)</f>
        <v>189.84191300000003</v>
      </c>
      <c r="Q16" s="6">
        <f t="shared" si="14"/>
        <v>186.02019999999999</v>
      </c>
      <c r="R16" s="6">
        <f t="shared" si="14"/>
        <v>211.13499999999999</v>
      </c>
      <c r="S16" s="6">
        <f t="shared" si="14"/>
        <v>245.13920000000002</v>
      </c>
      <c r="T16" s="6">
        <f t="shared" si="14"/>
        <v>249.50889999999998</v>
      </c>
      <c r="U16" s="6">
        <f t="shared" si="14"/>
        <v>273.34580000000005</v>
      </c>
      <c r="V16" s="6">
        <f t="shared" si="14"/>
        <v>228.48469999999998</v>
      </c>
      <c r="W16" s="67">
        <f t="shared" si="14"/>
        <v>226.99799999999999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15">+SUM(C7:C17)+SUM(B18)</f>
        <v>190.66301300000001</v>
      </c>
      <c r="Q17" s="6">
        <f t="shared" si="15"/>
        <v>183.18680000000001</v>
      </c>
      <c r="R17" s="6">
        <f t="shared" si="15"/>
        <v>215.15819999999999</v>
      </c>
      <c r="S17" s="6">
        <f t="shared" si="15"/>
        <v>248.5565</v>
      </c>
      <c r="T17" s="6">
        <f t="shared" si="15"/>
        <v>248.39139999999998</v>
      </c>
      <c r="U17" s="6">
        <f t="shared" si="15"/>
        <v>274.24170000000004</v>
      </c>
      <c r="V17" s="6">
        <f t="shared" si="15"/>
        <v>226.21039999999996</v>
      </c>
      <c r="W17" s="67">
        <f t="shared" si="15"/>
        <v>225.79259999999996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16">+SUM(C7:C18)</f>
        <v>190.700613</v>
      </c>
      <c r="Q18" s="6">
        <f t="shared" si="16"/>
        <v>186.27010000000001</v>
      </c>
      <c r="R18" s="6">
        <f t="shared" si="16"/>
        <v>216.21199999999999</v>
      </c>
      <c r="S18" s="6">
        <f t="shared" si="16"/>
        <v>250.81399999999999</v>
      </c>
      <c r="T18" s="6">
        <f t="shared" si="16"/>
        <v>250.40859999999998</v>
      </c>
      <c r="U18" s="6">
        <f t="shared" si="16"/>
        <v>268.05240000000003</v>
      </c>
      <c r="V18" s="6">
        <f t="shared" si="16"/>
        <v>227.12739999999997</v>
      </c>
      <c r="W18" s="67">
        <f t="shared" si="16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17">SUM(C7:C18)</f>
        <v>190.700613</v>
      </c>
      <c r="D19" s="54">
        <f t="shared" si="17"/>
        <v>186.27010000000001</v>
      </c>
      <c r="E19" s="54">
        <f t="shared" si="17"/>
        <v>216.21199999999999</v>
      </c>
      <c r="F19" s="54">
        <f t="shared" si="17"/>
        <v>250.81399999999999</v>
      </c>
      <c r="G19" s="54">
        <f t="shared" si="17"/>
        <v>250.40859999999998</v>
      </c>
      <c r="H19" s="54">
        <f t="shared" si="17"/>
        <v>268.05240000000003</v>
      </c>
      <c r="I19" s="54">
        <f t="shared" ref="I19" si="18">SUM(I7:I18)</f>
        <v>227.12739999999997</v>
      </c>
      <c r="J19" s="186">
        <f t="shared" ref="J19" si="19">SUM(J7:J18)</f>
        <v>224.33069999999998</v>
      </c>
      <c r="K19" s="186"/>
      <c r="L19" s="165"/>
      <c r="M19" s="3"/>
      <c r="N19" s="43" t="s">
        <v>14</v>
      </c>
      <c r="O19" s="46">
        <f t="shared" ref="O19" si="20">+AVERAGE(O7:O18)</f>
        <v>216.34902616666668</v>
      </c>
      <c r="P19" s="46">
        <f>+AVERAGE(P7:P18)</f>
        <v>196.03323799999998</v>
      </c>
      <c r="Q19" s="46">
        <f t="shared" ref="Q19:T19" si="21">+AVERAGE(Q7:Q18)</f>
        <v>189.0905416666667</v>
      </c>
      <c r="R19" s="46">
        <f t="shared" si="21"/>
        <v>201.54150000000001</v>
      </c>
      <c r="S19" s="46">
        <f t="shared" si="21"/>
        <v>231.48541666666665</v>
      </c>
      <c r="T19" s="46">
        <f t="shared" si="21"/>
        <v>257.76966666666664</v>
      </c>
      <c r="U19" s="226">
        <f t="shared" ref="U19:V19" si="22">+AVERAGE(U7:U18)</f>
        <v>261.02770833333335</v>
      </c>
      <c r="V19" s="226">
        <f t="shared" si="22"/>
        <v>243.53006666666667</v>
      </c>
      <c r="W19" s="220">
        <f t="shared" ref="W19:X19" si="23">+AVERAGE(W7:W18)</f>
        <v>226.60564999999997</v>
      </c>
      <c r="X19" s="197">
        <f t="shared" si="23"/>
        <v>229.97071666666668</v>
      </c>
      <c r="Y19" s="79"/>
      <c r="Z19" s="75"/>
    </row>
    <row r="20" spans="1:26" ht="25.5" x14ac:dyDescent="0.25">
      <c r="A20" s="57" t="s">
        <v>15</v>
      </c>
      <c r="B20" s="195">
        <f t="shared" ref="B20:G20" si="24">+B19/B$73</f>
        <v>0.21855000116817716</v>
      </c>
      <c r="C20" s="58">
        <f t="shared" si="24"/>
        <v>0.21366943640525579</v>
      </c>
      <c r="D20" s="58">
        <f t="shared" si="24"/>
        <v>0.2218552097475697</v>
      </c>
      <c r="E20" s="58">
        <f t="shared" si="24"/>
        <v>0.24423578492764775</v>
      </c>
      <c r="F20" s="58">
        <f t="shared" si="24"/>
        <v>0.26598419582131183</v>
      </c>
      <c r="G20" s="58">
        <f t="shared" si="24"/>
        <v>0.29878293091693375</v>
      </c>
      <c r="H20" s="58">
        <f t="shared" ref="H20:I20" si="25">+H19/H$73</f>
        <v>0.32388741650956776</v>
      </c>
      <c r="I20" s="58">
        <f t="shared" si="25"/>
        <v>0.2929692508399116</v>
      </c>
      <c r="J20" s="189">
        <f t="shared" ref="J20" si="26">+J19/J$73</f>
        <v>0.29415181300913218</v>
      </c>
      <c r="K20" s="189"/>
      <c r="L20" s="59"/>
      <c r="M20" s="3"/>
      <c r="N20" s="44" t="s">
        <v>15</v>
      </c>
      <c r="O20" s="48">
        <f t="shared" ref="O20:T20" si="27">+O19/O$73</f>
        <v>0.21985847584556573</v>
      </c>
      <c r="P20" s="48">
        <f t="shared" si="27"/>
        <v>0.21490148446716639</v>
      </c>
      <c r="Q20" s="48">
        <f t="shared" si="27"/>
        <v>0.21727564310707764</v>
      </c>
      <c r="R20" s="48">
        <f t="shared" si="27"/>
        <v>0.23582960780426299</v>
      </c>
      <c r="S20" s="48">
        <f t="shared" si="27"/>
        <v>0.25198853523262049</v>
      </c>
      <c r="T20" s="48">
        <f t="shared" si="27"/>
        <v>0.29172289582362015</v>
      </c>
      <c r="U20" s="58">
        <f t="shared" ref="U20:V20" si="28">+U19/U$73</f>
        <v>0.30981230561947293</v>
      </c>
      <c r="V20" s="58">
        <f t="shared" si="28"/>
        <v>0.30840328326841626</v>
      </c>
      <c r="W20" s="189">
        <f t="shared" ref="W20:X20" si="29">+W19/W$73</f>
        <v>0.29592198181529306</v>
      </c>
      <c r="X20" s="188">
        <f t="shared" si="29"/>
        <v>0.29840797236868866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30">+D19/C19-1</f>
        <v>-2.3232819917574088E-2</v>
      </c>
      <c r="E21" s="62">
        <f t="shared" si="30"/>
        <v>0.16074453173107206</v>
      </c>
      <c r="F21" s="62">
        <f t="shared" si="30"/>
        <v>0.16003737072872926</v>
      </c>
      <c r="G21" s="62">
        <f t="shared" si="30"/>
        <v>-1.616337206057139E-3</v>
      </c>
      <c r="H21" s="62">
        <f t="shared" si="30"/>
        <v>7.0460040110443822E-2</v>
      </c>
      <c r="I21" s="62">
        <f t="shared" si="30"/>
        <v>-0.15267537242718243</v>
      </c>
      <c r="J21" s="190">
        <f t="shared" si="30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31">+Q19/P19-1</f>
        <v>-3.5415914179478536E-2</v>
      </c>
      <c r="R21" s="50">
        <f t="shared" ref="R21" si="32">+R19/Q19-1</f>
        <v>6.5846542209827552E-2</v>
      </c>
      <c r="S21" s="50">
        <f t="shared" ref="S21:X21" si="33">+S19/R19-1</f>
        <v>0.14857444579238832</v>
      </c>
      <c r="T21" s="50">
        <f t="shared" si="33"/>
        <v>0.11354602971749483</v>
      </c>
      <c r="U21" s="62">
        <f t="shared" si="33"/>
        <v>1.2639352445141805E-2</v>
      </c>
      <c r="V21" s="62">
        <f t="shared" si="33"/>
        <v>-6.7033656229024241E-2</v>
      </c>
      <c r="W21" s="190">
        <f t="shared" si="33"/>
        <v>-6.9496210050449814E-2</v>
      </c>
      <c r="X21" s="187">
        <f t="shared" si="33"/>
        <v>1.4849879809557764E-2</v>
      </c>
      <c r="Y21" s="73"/>
      <c r="Z21" s="52"/>
    </row>
    <row r="22" spans="1:26" ht="13.5" thickBot="1" x14ac:dyDescent="0.3"/>
    <row r="23" spans="1:26" ht="13.5" thickBot="1" x14ac:dyDescent="0.3">
      <c r="A23" s="351" t="s">
        <v>228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35">+P24+1</f>
        <v>2018</v>
      </c>
      <c r="R24" s="64">
        <f t="shared" ref="R24" si="36">+Q24+1</f>
        <v>2019</v>
      </c>
      <c r="S24" s="64">
        <f t="shared" ref="S24" si="37">+R24+1</f>
        <v>2020</v>
      </c>
      <c r="T24" s="64">
        <f t="shared" ref="T24" si="38">+S24+1</f>
        <v>2021</v>
      </c>
      <c r="U24" s="39">
        <f t="shared" ref="U24" si="39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40">+SUM(C25)+SUM(B26:B36)</f>
        <v>680.7709000000001</v>
      </c>
      <c r="Q25" s="6">
        <f t="shared" si="40"/>
        <v>659.31950000000006</v>
      </c>
      <c r="R25" s="6">
        <f t="shared" si="40"/>
        <v>615.7829999999999</v>
      </c>
      <c r="S25" s="6">
        <f t="shared" si="40"/>
        <v>644.96390000000008</v>
      </c>
      <c r="T25" s="6">
        <f t="shared" si="40"/>
        <v>652.5646999999999</v>
      </c>
      <c r="U25" s="6">
        <f t="shared" si="40"/>
        <v>542.30870000000004</v>
      </c>
      <c r="V25" s="6">
        <f t="shared" si="40"/>
        <v>514.59899999999993</v>
      </c>
      <c r="W25" s="67">
        <f t="shared" si="40"/>
        <v>505.2998</v>
      </c>
      <c r="X25" s="37">
        <f t="shared" ref="X25" si="41">+SUM(K25)+SUM(J26:J36)</f>
        <v>510.46650000000005</v>
      </c>
      <c r="Y25" s="78">
        <f t="shared" ref="Y25:Y30" si="42">+X25/W25-1</f>
        <v>1.0225018889776116E-2</v>
      </c>
      <c r="Z25" s="7">
        <f t="shared" ref="Z25:Z30" si="43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44">+SUM(C25:C26)+SUM(B27:B36)</f>
        <v>674.2813000000001</v>
      </c>
      <c r="Q26" s="6">
        <f t="shared" si="44"/>
        <v>657.29070000000002</v>
      </c>
      <c r="R26" s="6">
        <f t="shared" si="44"/>
        <v>618.72320000000002</v>
      </c>
      <c r="S26" s="6">
        <f t="shared" si="44"/>
        <v>648.76300000000003</v>
      </c>
      <c r="T26" s="6">
        <f t="shared" si="44"/>
        <v>642.7645</v>
      </c>
      <c r="U26" s="6">
        <f t="shared" si="44"/>
        <v>539.6028</v>
      </c>
      <c r="V26" s="6">
        <f t="shared" si="44"/>
        <v>511.37710000000004</v>
      </c>
      <c r="W26" s="67">
        <f>+SUM(J25:J26)+SUM(I27:I36)</f>
        <v>506.41149999999999</v>
      </c>
      <c r="X26" s="37">
        <f t="shared" ref="X26" si="45">+SUM(K25:K26)+SUM(J27:J36)</f>
        <v>513.98720000000003</v>
      </c>
      <c r="Y26" s="78">
        <f t="shared" si="42"/>
        <v>1.4959573390414871E-2</v>
      </c>
      <c r="Z26" s="7">
        <f t="shared" si="43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46">+SUM(C25:C27)+SUM(B28:B36)</f>
        <v>670.46889999999996</v>
      </c>
      <c r="Q27" s="6">
        <f t="shared" si="46"/>
        <v>656.4389000000001</v>
      </c>
      <c r="R27" s="6">
        <f t="shared" si="46"/>
        <v>617.09069999999997</v>
      </c>
      <c r="S27" s="6">
        <f t="shared" si="46"/>
        <v>643.04860000000008</v>
      </c>
      <c r="T27" s="6">
        <f t="shared" si="46"/>
        <v>632.97260000000006</v>
      </c>
      <c r="U27" s="6">
        <f t="shared" si="46"/>
        <v>550.98530000000005</v>
      </c>
      <c r="V27" s="6">
        <f t="shared" si="46"/>
        <v>501.6454</v>
      </c>
      <c r="W27" s="67">
        <f t="shared" si="46"/>
        <v>506.39619999999996</v>
      </c>
      <c r="X27" s="37">
        <f t="shared" ref="X27" si="47">+SUM(K25:K27)+SUM(J28:J36)</f>
        <v>513.16049999999996</v>
      </c>
      <c r="Y27" s="78">
        <f t="shared" si="42"/>
        <v>1.3357722668535077E-2</v>
      </c>
      <c r="Z27" s="7">
        <f t="shared" si="43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48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49">+SUM(C25:C28)+SUM(B29:B36)</f>
        <v>660.01170000000002</v>
      </c>
      <c r="Q28" s="6">
        <f t="shared" si="49"/>
        <v>654.98950000000013</v>
      </c>
      <c r="R28" s="6">
        <f t="shared" si="49"/>
        <v>616.5972999999999</v>
      </c>
      <c r="S28" s="6">
        <f t="shared" si="49"/>
        <v>644.06200000000013</v>
      </c>
      <c r="T28" s="6">
        <f t="shared" si="49"/>
        <v>623.78099999999995</v>
      </c>
      <c r="U28" s="6">
        <f t="shared" si="49"/>
        <v>550.45420000000013</v>
      </c>
      <c r="V28" s="6">
        <f t="shared" si="49"/>
        <v>502.86550000000005</v>
      </c>
      <c r="W28" s="67">
        <f t="shared" si="49"/>
        <v>499.72910000000002</v>
      </c>
      <c r="X28" s="37">
        <f t="shared" ref="X28" si="50">+SUM(K25:K28)+SUM(J29:J36)</f>
        <v>513.63970000000006</v>
      </c>
      <c r="Y28" s="78">
        <f t="shared" si="42"/>
        <v>2.7836281697423804E-2</v>
      </c>
      <c r="Z28" s="7">
        <f t="shared" si="43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51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52">+SUM(C25:C29)+SUM(B30:B36)</f>
        <v>665.58010000000002</v>
      </c>
      <c r="Q29" s="6">
        <f t="shared" si="52"/>
        <v>650.15050000000008</v>
      </c>
      <c r="R29" s="6">
        <f t="shared" si="52"/>
        <v>618.24580000000003</v>
      </c>
      <c r="S29" s="6">
        <f t="shared" si="52"/>
        <v>640.9507000000001</v>
      </c>
      <c r="T29" s="6">
        <f t="shared" si="52"/>
        <v>602.99790000000007</v>
      </c>
      <c r="U29" s="6">
        <f t="shared" si="52"/>
        <v>553.85470000000009</v>
      </c>
      <c r="V29" s="6">
        <f t="shared" si="52"/>
        <v>501.35059999999999</v>
      </c>
      <c r="W29" s="67">
        <f t="shared" si="52"/>
        <v>499.68599999999998</v>
      </c>
      <c r="X29" s="37">
        <f t="shared" ref="X29" si="53">+SUM(K25:K29)+SUM(J30:J36)</f>
        <v>505.4085</v>
      </c>
      <c r="Y29" s="78">
        <f t="shared" si="42"/>
        <v>1.1452191976561332E-2</v>
      </c>
      <c r="Z29" s="7">
        <f t="shared" si="43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54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55">+SUM(C25:C30)+SUM(B31:B36)</f>
        <v>673.95370000000003</v>
      </c>
      <c r="Q30" s="6">
        <f t="shared" si="55"/>
        <v>645.13059999999996</v>
      </c>
      <c r="R30" s="6">
        <f t="shared" si="55"/>
        <v>611.29750000000001</v>
      </c>
      <c r="S30" s="6">
        <f t="shared" si="55"/>
        <v>655.23649999999998</v>
      </c>
      <c r="T30" s="6">
        <f t="shared" si="55"/>
        <v>590.06280000000004</v>
      </c>
      <c r="U30" s="6">
        <f t="shared" si="55"/>
        <v>540.63710000000003</v>
      </c>
      <c r="V30" s="6">
        <f t="shared" si="55"/>
        <v>503.74910000000006</v>
      </c>
      <c r="W30" s="67">
        <f t="shared" si="55"/>
        <v>497.65920000000006</v>
      </c>
      <c r="X30" s="37">
        <f t="shared" ref="X30" si="56">+SUM(K25:K30)+SUM(J31:J36)</f>
        <v>499.92730000000006</v>
      </c>
      <c r="Y30" s="78">
        <f t="shared" si="42"/>
        <v>4.5575365631742581E-3</v>
      </c>
      <c r="Z30" s="7">
        <f t="shared" si="43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/>
      <c r="L31" s="7"/>
      <c r="N31" s="42" t="s">
        <v>4</v>
      </c>
      <c r="O31" s="6">
        <f>+SUM('[1]1.CONSUMO ARGENTINA POR TIPO '!C312:C323)/10000</f>
        <v>706.97689100000002</v>
      </c>
      <c r="P31" s="6">
        <f t="shared" ref="P31:W31" si="57">+SUM(C25:C31)+SUM(B32:B36)</f>
        <v>674.87870000000009</v>
      </c>
      <c r="Q31" s="6">
        <f t="shared" si="57"/>
        <v>642.94880000000001</v>
      </c>
      <c r="R31" s="6">
        <f t="shared" si="57"/>
        <v>611.65539999999999</v>
      </c>
      <c r="S31" s="6">
        <f t="shared" si="57"/>
        <v>666.48199999999997</v>
      </c>
      <c r="T31" s="6">
        <f t="shared" si="57"/>
        <v>573.553</v>
      </c>
      <c r="U31" s="6">
        <f t="shared" si="57"/>
        <v>538.47810000000004</v>
      </c>
      <c r="V31" s="6">
        <f t="shared" si="57"/>
        <v>500.89710000000002</v>
      </c>
      <c r="W31" s="67">
        <f t="shared" si="57"/>
        <v>501.77719999999999</v>
      </c>
      <c r="X31" s="67"/>
      <c r="Y31" s="78"/>
      <c r="Z31" s="7"/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/>
      <c r="L32" s="7"/>
      <c r="N32" s="42" t="s">
        <v>5</v>
      </c>
      <c r="O32" s="6">
        <f>+SUM('[1]1.CONSUMO ARGENTINA POR TIPO '!C313:C324)/10000</f>
        <v>706.595418</v>
      </c>
      <c r="P32" s="6">
        <f t="shared" ref="P32:W32" si="58">+SUM(C25:C32)+SUM(B33:B36)</f>
        <v>673.67220000000009</v>
      </c>
      <c r="Q32" s="6">
        <f t="shared" si="58"/>
        <v>639.4203</v>
      </c>
      <c r="R32" s="6">
        <f t="shared" si="58"/>
        <v>616.1576</v>
      </c>
      <c r="S32" s="6">
        <f t="shared" si="58"/>
        <v>663.80730000000005</v>
      </c>
      <c r="T32" s="6">
        <f t="shared" si="58"/>
        <v>566.48419999999999</v>
      </c>
      <c r="U32" s="6">
        <f t="shared" si="58"/>
        <v>538.63110000000006</v>
      </c>
      <c r="V32" s="6">
        <f t="shared" si="58"/>
        <v>499.46600000000012</v>
      </c>
      <c r="W32" s="67">
        <f t="shared" si="58"/>
        <v>508.27160000000003</v>
      </c>
      <c r="X32" s="67"/>
      <c r="Y32" s="78"/>
      <c r="Z32" s="7"/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/>
      <c r="L33" s="7"/>
      <c r="N33" s="42" t="s">
        <v>6</v>
      </c>
      <c r="O33" s="6">
        <f>+SUM('[1]1.CONSUMO ARGENTINA POR TIPO '!C314:C325)/10000</f>
        <v>705.11019199999998</v>
      </c>
      <c r="P33" s="6">
        <f t="shared" ref="P33:W33" si="59">+SUM(C25:C33)+SUM(B34:B36)</f>
        <v>673.21560000000011</v>
      </c>
      <c r="Q33" s="6">
        <f t="shared" si="59"/>
        <v>628.21069999999997</v>
      </c>
      <c r="R33" s="6">
        <f t="shared" si="59"/>
        <v>620.55140000000006</v>
      </c>
      <c r="S33" s="6">
        <f t="shared" si="59"/>
        <v>665.96350000000007</v>
      </c>
      <c r="T33" s="6">
        <f t="shared" si="59"/>
        <v>558.65519999999992</v>
      </c>
      <c r="U33" s="6">
        <f t="shared" si="59"/>
        <v>535.3116</v>
      </c>
      <c r="V33" s="6">
        <f t="shared" si="59"/>
        <v>498.05200000000013</v>
      </c>
      <c r="W33" s="67">
        <f t="shared" si="59"/>
        <v>507.55740000000003</v>
      </c>
      <c r="X33" s="37"/>
      <c r="Y33" s="78"/>
      <c r="Z33" s="7"/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60">+SUM(C25:C34)+SUM(B35:B36)</f>
        <v>667.62060000000008</v>
      </c>
      <c r="Q34" s="6">
        <f t="shared" si="60"/>
        <v>623.23059999999998</v>
      </c>
      <c r="R34" s="6">
        <f t="shared" si="60"/>
        <v>629.50409999999999</v>
      </c>
      <c r="S34" s="6">
        <f t="shared" si="60"/>
        <v>665.75990000000002</v>
      </c>
      <c r="T34" s="6">
        <f t="shared" si="60"/>
        <v>548.81380000000001</v>
      </c>
      <c r="U34" s="6">
        <f t="shared" si="60"/>
        <v>537.42679999999996</v>
      </c>
      <c r="V34" s="6">
        <f t="shared" si="60"/>
        <v>500.39730000000009</v>
      </c>
      <c r="W34" s="67">
        <f t="shared" si="60"/>
        <v>504.11970000000002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61">+SUM(C25:C35)+SUM(B36)</f>
        <v>665.06040000000007</v>
      </c>
      <c r="Q35" s="6">
        <f t="shared" si="61"/>
        <v>617.79520000000002</v>
      </c>
      <c r="R35" s="6">
        <f t="shared" si="61"/>
        <v>634.096</v>
      </c>
      <c r="S35" s="6">
        <f t="shared" si="61"/>
        <v>661.1889000000001</v>
      </c>
      <c r="T35" s="6">
        <f t="shared" si="61"/>
        <v>552.48349999999994</v>
      </c>
      <c r="U35" s="6">
        <f t="shared" si="61"/>
        <v>524.74059999999997</v>
      </c>
      <c r="V35" s="6">
        <f t="shared" si="61"/>
        <v>505.21060000000011</v>
      </c>
      <c r="W35" s="67">
        <f t="shared" si="61"/>
        <v>507.57190000000003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62">+SUM(C25:C36)</f>
        <v>658.32210000000009</v>
      </c>
      <c r="Q36" s="6">
        <f t="shared" si="62"/>
        <v>617.50869999999998</v>
      </c>
      <c r="R36" s="6">
        <f t="shared" si="62"/>
        <v>636.71080000000006</v>
      </c>
      <c r="S36" s="6">
        <f t="shared" si="62"/>
        <v>661.76120000000003</v>
      </c>
      <c r="T36" s="6">
        <f t="shared" si="62"/>
        <v>548.4819</v>
      </c>
      <c r="U36" s="6">
        <f t="shared" si="62"/>
        <v>514.87869999999998</v>
      </c>
      <c r="V36" s="6">
        <f t="shared" si="62"/>
        <v>507.64330000000007</v>
      </c>
      <c r="W36" s="67">
        <f t="shared" si="62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3">SUM(G25:G36)</f>
        <v>548.4819</v>
      </c>
      <c r="H37" s="54">
        <f t="shared" si="63"/>
        <v>514.87869999999998</v>
      </c>
      <c r="I37" s="54">
        <f t="shared" ref="I37:J37" si="64">SUM(I25:I36)</f>
        <v>507.64330000000007</v>
      </c>
      <c r="J37" s="186">
        <f t="shared" si="64"/>
        <v>507.86500000000007</v>
      </c>
      <c r="K37" s="186"/>
      <c r="L37" s="165"/>
      <c r="M37" s="3"/>
      <c r="N37" s="43" t="s">
        <v>14</v>
      </c>
      <c r="O37" s="46">
        <f t="shared" ref="O37" si="65">+AVERAGE(O25:O36)</f>
        <v>717.43518516666666</v>
      </c>
      <c r="P37" s="46">
        <f>+AVERAGE(P25:P36)</f>
        <v>669.8196833333335</v>
      </c>
      <c r="Q37" s="46">
        <f t="shared" ref="Q37:U37" si="66">+AVERAGE(Q25:Q36)</f>
        <v>641.03616666666665</v>
      </c>
      <c r="R37" s="46">
        <f t="shared" si="66"/>
        <v>620.53439999999989</v>
      </c>
      <c r="S37" s="46">
        <f t="shared" si="66"/>
        <v>655.16562500000009</v>
      </c>
      <c r="T37" s="46">
        <f t="shared" si="66"/>
        <v>591.13459166666678</v>
      </c>
      <c r="U37" s="226">
        <f t="shared" si="66"/>
        <v>538.94247500000017</v>
      </c>
      <c r="V37" s="226">
        <f t="shared" ref="V37" si="67">+AVERAGE(V25:V36)</f>
        <v>503.93775000000005</v>
      </c>
      <c r="W37" s="220">
        <f t="shared" ref="W37" si="68">+AVERAGE(W25:W36)</f>
        <v>504.36204999999995</v>
      </c>
      <c r="X37" s="197">
        <f t="shared" ref="X37" si="69">+AVERAGE(X25:X36)</f>
        <v>509.43161666666674</v>
      </c>
      <c r="Y37" s="79"/>
      <c r="Z37" s="75"/>
    </row>
    <row r="38" spans="1:26" ht="25.5" x14ac:dyDescent="0.25">
      <c r="A38" s="57" t="s">
        <v>15</v>
      </c>
      <c r="B38" s="195">
        <f t="shared" ref="B38:H38" si="70">+B37/B$73</f>
        <v>0.72991172510030389</v>
      </c>
      <c r="C38" s="58">
        <f t="shared" si="70"/>
        <v>0.73761331894682725</v>
      </c>
      <c r="D38" s="58">
        <f t="shared" si="70"/>
        <v>0.735477793588177</v>
      </c>
      <c r="E38" s="58">
        <f t="shared" si="70"/>
        <v>0.71923649940757484</v>
      </c>
      <c r="F38" s="58">
        <f t="shared" si="70"/>
        <v>0.70178706375141064</v>
      </c>
      <c r="G38" s="58">
        <f t="shared" si="70"/>
        <v>0.65443850425619798</v>
      </c>
      <c r="H38" s="58">
        <f t="shared" si="70"/>
        <v>0.62212736001917812</v>
      </c>
      <c r="I38" s="58">
        <f t="shared" ref="I38:J38" si="71">+I37/I$73</f>
        <v>0.65480376781885641</v>
      </c>
      <c r="J38" s="189">
        <f t="shared" si="71"/>
        <v>0.66593386689330958</v>
      </c>
      <c r="K38" s="189"/>
      <c r="L38" s="59"/>
      <c r="M38" s="3"/>
      <c r="N38" s="44" t="s">
        <v>15</v>
      </c>
      <c r="O38" s="48">
        <f t="shared" ref="O38:U38" si="72">+O37/O$73</f>
        <v>0.72907287415850175</v>
      </c>
      <c r="P38" s="48">
        <f t="shared" si="72"/>
        <v>0.73428998950504865</v>
      </c>
      <c r="Q38" s="48">
        <f t="shared" si="72"/>
        <v>0.73658652696084947</v>
      </c>
      <c r="R38" s="48">
        <f t="shared" si="72"/>
        <v>0.72610546304881929</v>
      </c>
      <c r="S38" s="48">
        <f t="shared" si="72"/>
        <v>0.71319493277732482</v>
      </c>
      <c r="T38" s="48">
        <f t="shared" si="72"/>
        <v>0.66899840129565269</v>
      </c>
      <c r="U38" s="58">
        <f t="shared" si="72"/>
        <v>0.63966776493625188</v>
      </c>
      <c r="V38" s="58">
        <f t="shared" ref="V38" si="73">+V37/V$73</f>
        <v>0.63818015898474278</v>
      </c>
      <c r="W38" s="189">
        <f t="shared" ref="W38" si="74">+W37/W$73</f>
        <v>0.6586412006427198</v>
      </c>
      <c r="X38" s="188">
        <f t="shared" ref="X38" si="75">+X37/X$73</f>
        <v>0.66103396986124863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76">+D37/C37-1</f>
        <v>-6.1996095832116405E-2</v>
      </c>
      <c r="E39" s="62">
        <f t="shared" ref="E39" si="77">+E37/D37-1</f>
        <v>3.109608010381093E-2</v>
      </c>
      <c r="F39" s="62">
        <f t="shared" ref="F39:J39" si="78">+F37/E37-1</f>
        <v>3.9343450747183706E-2</v>
      </c>
      <c r="G39" s="62">
        <f t="shared" si="78"/>
        <v>-0.17117851575462573</v>
      </c>
      <c r="H39" s="62">
        <f t="shared" si="78"/>
        <v>-6.1265832108589158E-2</v>
      </c>
      <c r="I39" s="62">
        <f t="shared" si="78"/>
        <v>-1.4052630260292243E-2</v>
      </c>
      <c r="J39" s="190">
        <f t="shared" si="78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79">+Q37/P37-1</f>
        <v>-4.2972037673522423E-2</v>
      </c>
      <c r="R39" s="50">
        <f t="shared" ref="R39" si="80">+R37/Q37-1</f>
        <v>-3.1982230851769544E-2</v>
      </c>
      <c r="S39" s="50">
        <f t="shared" ref="S39" si="81">+S37/R37-1</f>
        <v>5.5808711007802714E-2</v>
      </c>
      <c r="T39" s="50">
        <f t="shared" ref="T39" si="82">+T37/S37-1</f>
        <v>-9.7732589882647325E-2</v>
      </c>
      <c r="U39" s="62">
        <f t="shared" ref="U39:X39" si="83">+U37/T37-1</f>
        <v>-8.8291427032740954E-2</v>
      </c>
      <c r="V39" s="62">
        <f t="shared" si="83"/>
        <v>-6.4950763066132677E-2</v>
      </c>
      <c r="W39" s="190">
        <f t="shared" si="83"/>
        <v>8.4196907256872677E-4</v>
      </c>
      <c r="X39" s="187">
        <f t="shared" si="83"/>
        <v>1.0051443534791593E-2</v>
      </c>
      <c r="Y39" s="73"/>
      <c r="Z39" s="52"/>
    </row>
    <row r="40" spans="1:26" ht="13.5" thickBot="1" x14ac:dyDescent="0.3"/>
    <row r="41" spans="1:26" ht="13.5" thickBot="1" x14ac:dyDescent="0.3">
      <c r="A41" s="351" t="s">
        <v>230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85">+P42+1</f>
        <v>2018</v>
      </c>
      <c r="R42" s="64">
        <f t="shared" ref="R42" si="86">+Q42+1</f>
        <v>2019</v>
      </c>
      <c r="S42" s="64">
        <f t="shared" ref="S42" si="87">+R42+1</f>
        <v>2020</v>
      </c>
      <c r="T42" s="64">
        <f t="shared" ref="T42" si="88">+S42+1</f>
        <v>2021</v>
      </c>
      <c r="U42" s="39">
        <f t="shared" ref="U42" si="89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90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91">+SUM(C43)+SUM(B44:B54)</f>
        <v>44.913885999999998</v>
      </c>
      <c r="Q43" s="6">
        <f t="shared" si="91"/>
        <v>38.8033</v>
      </c>
      <c r="R43" s="6">
        <f t="shared" si="91"/>
        <v>31.7028</v>
      </c>
      <c r="S43" s="6">
        <f t="shared" si="91"/>
        <v>29.509999999999998</v>
      </c>
      <c r="T43" s="6">
        <f t="shared" si="91"/>
        <v>25.473299999999998</v>
      </c>
      <c r="U43" s="6">
        <f t="shared" si="91"/>
        <v>34.297500000000007</v>
      </c>
      <c r="V43" s="6">
        <f t="shared" si="91"/>
        <v>39.892300000000006</v>
      </c>
      <c r="W43" s="67">
        <f t="shared" si="91"/>
        <v>36.826400000000007</v>
      </c>
      <c r="X43" s="37">
        <f t="shared" ref="X43" si="92">+SUM(K43)+SUM(J44:J54)</f>
        <v>27.599700000000002</v>
      </c>
      <c r="Y43" s="78">
        <f t="shared" ref="Y43:Y48" si="93">+X43/W43-1</f>
        <v>-0.25054580409706084</v>
      </c>
      <c r="Z43" s="7">
        <f t="shared" ref="Z43:Z48" si="94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90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95">+SUM(C43:C44)+SUM(B45:B54)</f>
        <v>44.085701</v>
      </c>
      <c r="Q44" s="6">
        <f t="shared" si="95"/>
        <v>38.923900000000003</v>
      </c>
      <c r="R44" s="6">
        <f t="shared" si="95"/>
        <v>31.379100000000001</v>
      </c>
      <c r="S44" s="6">
        <f t="shared" si="95"/>
        <v>29.389899999999997</v>
      </c>
      <c r="T44" s="6">
        <f t="shared" si="95"/>
        <v>25.846</v>
      </c>
      <c r="U44" s="6">
        <f t="shared" si="95"/>
        <v>34.901400000000002</v>
      </c>
      <c r="V44" s="6">
        <f t="shared" ref="V44" si="96">+SUM(I43:I44)+SUM(H45:H54)</f>
        <v>39.190300000000001</v>
      </c>
      <c r="W44" s="67">
        <f t="shared" ref="W44" si="97">+SUM(J43:J44)+SUM(I45:I54)</f>
        <v>36.415100000000002</v>
      </c>
      <c r="X44" s="37">
        <f t="shared" ref="X44" si="98">+SUM(K43:K44)+SUM(J45:J54)</f>
        <v>27.888900000000003</v>
      </c>
      <c r="Y44" s="78">
        <f t="shared" si="93"/>
        <v>-0.23413913458977176</v>
      </c>
      <c r="Z44" s="7">
        <f t="shared" si="94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90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99">+SUM(C43:C45)+SUM(B46:B54)</f>
        <v>43.898941000000008</v>
      </c>
      <c r="Q45" s="6">
        <f t="shared" si="99"/>
        <v>38.318300000000001</v>
      </c>
      <c r="R45" s="6">
        <f t="shared" si="99"/>
        <v>30.211000000000002</v>
      </c>
      <c r="S45" s="6">
        <f t="shared" si="99"/>
        <v>29.632999999999999</v>
      </c>
      <c r="T45" s="6">
        <f t="shared" si="99"/>
        <v>26.472500000000004</v>
      </c>
      <c r="U45" s="6">
        <f t="shared" si="99"/>
        <v>35.592100000000002</v>
      </c>
      <c r="V45" s="6">
        <f t="shared" ref="V45" si="100">+SUM(I43:I45)+SUM(H46:H54)</f>
        <v>38.8033</v>
      </c>
      <c r="W45" s="67">
        <f t="shared" ref="W45" si="101">+SUM(J43:J45)+SUM(I46:I54)</f>
        <v>35.7363</v>
      </c>
      <c r="X45" s="37">
        <f t="shared" ref="X45" si="102">+SUM(K43:K45)+SUM(J46:J54)</f>
        <v>27.569600000000001</v>
      </c>
      <c r="Y45" s="78">
        <f t="shared" si="93"/>
        <v>-0.22852673611985563</v>
      </c>
      <c r="Z45" s="7">
        <f t="shared" si="94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90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03">+SUM(C43:C46)+SUM(B47:B54)</f>
        <v>43.641752999999994</v>
      </c>
      <c r="Q46" s="6">
        <f t="shared" si="103"/>
        <v>37.970799999999997</v>
      </c>
      <c r="R46" s="6">
        <f t="shared" si="103"/>
        <v>29.183599999999998</v>
      </c>
      <c r="S46" s="6">
        <f t="shared" si="103"/>
        <v>29.524699999999999</v>
      </c>
      <c r="T46" s="6">
        <f t="shared" si="103"/>
        <v>27.7455</v>
      </c>
      <c r="U46" s="6">
        <f t="shared" si="103"/>
        <v>36.037399999999998</v>
      </c>
      <c r="V46" s="6">
        <f t="shared" ref="V46" si="104">+SUM(I43:I46)+SUM(H47:H54)</f>
        <v>38.180000000000007</v>
      </c>
      <c r="W46" s="67">
        <f t="shared" ref="W46" si="105">+SUM(J43:J46)+SUM(I47:I54)</f>
        <v>34.949300000000001</v>
      </c>
      <c r="X46" s="37">
        <f t="shared" ref="X46" si="106">+SUM(K43:K46)+SUM(J47:J54)</f>
        <v>28.305499999999999</v>
      </c>
      <c r="Y46" s="78">
        <f t="shared" si="93"/>
        <v>-0.19009822800456666</v>
      </c>
      <c r="Z46" s="7">
        <f t="shared" si="94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90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07">+SUM(C43:C47)+SUM(B48:B54)</f>
        <v>43.472369999999998</v>
      </c>
      <c r="Q47" s="6">
        <f t="shared" si="107"/>
        <v>37.405699999999996</v>
      </c>
      <c r="R47" s="6">
        <f t="shared" si="107"/>
        <v>28.703700000000001</v>
      </c>
      <c r="S47" s="6">
        <f t="shared" si="107"/>
        <v>28.497299999999999</v>
      </c>
      <c r="T47" s="6">
        <f t="shared" si="107"/>
        <v>29.444099999999999</v>
      </c>
      <c r="U47" s="6">
        <f t="shared" si="107"/>
        <v>36.529499999999999</v>
      </c>
      <c r="V47" s="6">
        <f t="shared" ref="V47" si="108">+SUM(I43:I47)+SUM(H48:H54)</f>
        <v>38.155500000000004</v>
      </c>
      <c r="W47" s="67">
        <f t="shared" ref="W47" si="109">+SUM(J43:J47)+SUM(I48:I54)</f>
        <v>33.430799999999998</v>
      </c>
      <c r="X47" s="37">
        <f t="shared" ref="X47" si="110">+SUM(K43:K47)+SUM(J48:J54)</f>
        <v>27.937000000000001</v>
      </c>
      <c r="Y47" s="78">
        <f t="shared" si="93"/>
        <v>-0.16433348887851917</v>
      </c>
      <c r="Z47" s="7">
        <f t="shared" si="94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90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11">+SUM(C43:C48)+SUM(B49:B54)</f>
        <v>43.851424000000002</v>
      </c>
      <c r="Q48" s="6">
        <f t="shared" si="111"/>
        <v>36.374499999999998</v>
      </c>
      <c r="R48" s="6">
        <f t="shared" si="111"/>
        <v>28.357099999999999</v>
      </c>
      <c r="S48" s="6">
        <f t="shared" si="111"/>
        <v>28.409499999999998</v>
      </c>
      <c r="T48" s="6">
        <f t="shared" si="111"/>
        <v>30.0321</v>
      </c>
      <c r="U48" s="6">
        <f t="shared" si="111"/>
        <v>37.142700000000005</v>
      </c>
      <c r="V48" s="6">
        <f t="shared" ref="V48" si="112">+SUM(I43:I48)+SUM(H49:H54)</f>
        <v>37.997</v>
      </c>
      <c r="W48" s="67">
        <f t="shared" ref="W48" si="113">+SUM(J43:J48)+SUM(I49:I54)</f>
        <v>31.8262</v>
      </c>
      <c r="X48" s="37">
        <f t="shared" ref="X48" si="114">+SUM(K43:K48)+SUM(J49:J54)</f>
        <v>27.849899999999998</v>
      </c>
      <c r="Y48" s="78">
        <f t="shared" si="93"/>
        <v>-0.12493794420948789</v>
      </c>
      <c r="Z48" s="7">
        <f t="shared" si="94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/>
      <c r="L49" s="7"/>
      <c r="N49" s="42" t="s">
        <v>4</v>
      </c>
      <c r="O49" s="6">
        <f>+SUM('[1]1.CONSUMO ARGENTINA POR TIPO '!E312:F323)/10000</f>
        <v>45.724594000000003</v>
      </c>
      <c r="P49" s="6">
        <f t="shared" ref="P49:U49" si="115">+SUM(C43:C49)+SUM(B50:B54)</f>
        <v>43.703434000000001</v>
      </c>
      <c r="Q49" s="6">
        <f t="shared" si="115"/>
        <v>35.464599999999997</v>
      </c>
      <c r="R49" s="6">
        <f t="shared" si="115"/>
        <v>28.445500000000003</v>
      </c>
      <c r="S49" s="6">
        <f t="shared" si="115"/>
        <v>28.019399999999997</v>
      </c>
      <c r="T49" s="6">
        <f t="shared" si="115"/>
        <v>30.916499999999999</v>
      </c>
      <c r="U49" s="6">
        <f t="shared" si="115"/>
        <v>37.391300000000001</v>
      </c>
      <c r="V49" s="6">
        <f t="shared" ref="V49" si="116">+SUM(I43:I49)+SUM(H50:H54)</f>
        <v>37.7044</v>
      </c>
      <c r="W49" s="67">
        <f t="shared" ref="W49" si="117">+SUM(J43:J49)+SUM(I50:I54)</f>
        <v>30.877200000000002</v>
      </c>
      <c r="X49" s="67"/>
      <c r="Y49" s="78"/>
      <c r="Z49" s="7"/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/>
      <c r="L50" s="7"/>
      <c r="N50" s="42" t="s">
        <v>5</v>
      </c>
      <c r="O50" s="6">
        <f>+SUM('[1]1.CONSUMO ARGENTINA POR TIPO '!E313:F324)/10000</f>
        <v>46.05037200000001</v>
      </c>
      <c r="P50" s="6">
        <f t="shared" ref="P50:U50" si="118">+SUM(C43:C50)+SUM(B51:B54)</f>
        <v>42.641021000000002</v>
      </c>
      <c r="Q50" s="6">
        <f t="shared" si="118"/>
        <v>35.508699999999997</v>
      </c>
      <c r="R50" s="6">
        <f t="shared" si="118"/>
        <v>27.767899999999997</v>
      </c>
      <c r="S50" s="6">
        <f t="shared" si="118"/>
        <v>27.8322</v>
      </c>
      <c r="T50" s="6">
        <f t="shared" si="118"/>
        <v>31.1327</v>
      </c>
      <c r="U50" s="6">
        <f t="shared" si="118"/>
        <v>39.330100000000002</v>
      </c>
      <c r="V50" s="6">
        <f t="shared" ref="V50" si="119">+SUM(I43:I50)+SUM(H51:H54)</f>
        <v>37.387199999999993</v>
      </c>
      <c r="W50" s="67">
        <f t="shared" ref="W50" si="120">+SUM(J43:J50)+SUM(I51:I54)</f>
        <v>29.049599999999998</v>
      </c>
      <c r="X50" s="67"/>
      <c r="Y50" s="78"/>
      <c r="Z50" s="7"/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/>
      <c r="L51" s="7"/>
      <c r="N51" s="42" t="s">
        <v>6</v>
      </c>
      <c r="O51" s="6">
        <f>+SUM('[1]1.CONSUMO ARGENTINA POR TIPO '!E314:F325)/10000</f>
        <v>46.603241000000018</v>
      </c>
      <c r="P51" s="6">
        <f t="shared" ref="P51:U51" si="121">+SUM(C43:C51)+SUM(B52:B54)</f>
        <v>41.551878000000002</v>
      </c>
      <c r="Q51" s="6">
        <f t="shared" si="121"/>
        <v>34.104900000000001</v>
      </c>
      <c r="R51" s="6">
        <f t="shared" si="121"/>
        <v>27.871600000000001</v>
      </c>
      <c r="S51" s="6">
        <f t="shared" si="121"/>
        <v>27.474599999999999</v>
      </c>
      <c r="T51" s="6">
        <f t="shared" si="121"/>
        <v>31.5562</v>
      </c>
      <c r="U51" s="6">
        <f t="shared" si="121"/>
        <v>40.903700000000001</v>
      </c>
      <c r="V51" s="6">
        <f t="shared" ref="V51" si="122">+SUM(I43:I51)+SUM(H52:H54)</f>
        <v>36.433199999999999</v>
      </c>
      <c r="W51" s="67">
        <f t="shared" ref="W51" si="123">+SUM(J43:J51)+SUM(I52:I54)</f>
        <v>28.813899999999997</v>
      </c>
      <c r="X51" s="37"/>
      <c r="Y51" s="78"/>
      <c r="Z51" s="7"/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24">+SUM(C43:C52)+SUM(B53:B54)</f>
        <v>41.00609</v>
      </c>
      <c r="Q52" s="6">
        <f t="shared" si="124"/>
        <v>33.428799999999995</v>
      </c>
      <c r="R52" s="6">
        <f t="shared" si="124"/>
        <v>27.8003</v>
      </c>
      <c r="S52" s="6">
        <f t="shared" si="124"/>
        <v>26.669499999999999</v>
      </c>
      <c r="T52" s="6">
        <f t="shared" si="124"/>
        <v>31.7179</v>
      </c>
      <c r="U52" s="6">
        <f t="shared" si="124"/>
        <v>41.944699999999997</v>
      </c>
      <c r="V52" s="6">
        <f t="shared" ref="V52" si="125">+SUM(I43:I52)+SUM(H53:H54)</f>
        <v>37.101399999999998</v>
      </c>
      <c r="W52" s="67">
        <f t="shared" ref="W52" si="126">+SUM(J43:J52)+SUM(I53:I54)</f>
        <v>27.897500000000001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27">+SUM(C43:C53)+SUM(B54)</f>
        <v>40.407289999999996</v>
      </c>
      <c r="Q53" s="6">
        <f t="shared" si="127"/>
        <v>32.308399999999999</v>
      </c>
      <c r="R53" s="6">
        <f t="shared" si="127"/>
        <v>28.764699999999998</v>
      </c>
      <c r="S53" s="6">
        <f t="shared" si="127"/>
        <v>26.004199999999997</v>
      </c>
      <c r="T53" s="6">
        <f t="shared" si="127"/>
        <v>32.801000000000002</v>
      </c>
      <c r="U53" s="6">
        <f t="shared" si="127"/>
        <v>41.066500000000005</v>
      </c>
      <c r="V53" s="6">
        <f t="shared" ref="V53" si="128">+SUM(I43:I53)+SUM(H54)</f>
        <v>37.5732</v>
      </c>
      <c r="W53" s="67">
        <f t="shared" ref="W53" si="129">+SUM(J43:J53)+SUM(I54)</f>
        <v>27.691000000000003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30">+SUM(C43:C54)</f>
        <v>39.202889999999996</v>
      </c>
      <c r="Q54" s="6">
        <f t="shared" si="130"/>
        <v>31.814099999999996</v>
      </c>
      <c r="R54" s="6">
        <f t="shared" si="130"/>
        <v>29.631799999999998</v>
      </c>
      <c r="S54" s="6">
        <f t="shared" si="130"/>
        <v>25.357599999999998</v>
      </c>
      <c r="T54" s="6">
        <f t="shared" si="130"/>
        <v>34.443400000000004</v>
      </c>
      <c r="U54" s="6">
        <f t="shared" si="130"/>
        <v>39.637600000000006</v>
      </c>
      <c r="V54" s="6">
        <f t="shared" ref="V54" si="131">+SUM(I43:I54)</f>
        <v>37.218699999999998</v>
      </c>
      <c r="W54" s="67">
        <f t="shared" ref="W54" si="132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33">SUM(C43:C54)</f>
        <v>39.202889999999996</v>
      </c>
      <c r="D55" s="54">
        <f t="shared" ref="D55" si="134">SUM(D43:D54)</f>
        <v>31.814099999999996</v>
      </c>
      <c r="E55" s="54">
        <f t="shared" ref="E55" si="135">SUM(E43:E54)</f>
        <v>29.631799999999998</v>
      </c>
      <c r="F55" s="54">
        <f t="shared" ref="F55:H55" si="136">SUM(F43:F54)</f>
        <v>25.357599999999998</v>
      </c>
      <c r="G55" s="54">
        <f t="shared" si="136"/>
        <v>34.443400000000004</v>
      </c>
      <c r="H55" s="54">
        <f t="shared" si="136"/>
        <v>39.637600000000006</v>
      </c>
      <c r="I55" s="54">
        <f t="shared" ref="I55:J55" si="137">SUM(I43:I54)</f>
        <v>37.218699999999998</v>
      </c>
      <c r="J55" s="186">
        <f t="shared" si="137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38">+AVERAGE(Q43:Q54)</f>
        <v>35.868833333333335</v>
      </c>
      <c r="R55" s="46">
        <f t="shared" si="138"/>
        <v>29.151591666666665</v>
      </c>
      <c r="S55" s="46">
        <f t="shared" si="138"/>
        <v>28.026824999999999</v>
      </c>
      <c r="T55" s="46">
        <f t="shared" si="138"/>
        <v>29.798433333333325</v>
      </c>
      <c r="U55" s="226">
        <f t="shared" si="138"/>
        <v>37.897875000000006</v>
      </c>
      <c r="V55" s="226">
        <f t="shared" ref="V55" si="139">+AVERAGE(V43:V54)</f>
        <v>37.969708333333337</v>
      </c>
      <c r="W55" s="220">
        <f t="shared" ref="W55:X55" si="140">+AVERAGE(W43:W54)</f>
        <v>31.760949999999998</v>
      </c>
      <c r="X55" s="197">
        <f t="shared" si="140"/>
        <v>27.858433333333334</v>
      </c>
      <c r="Y55" s="79"/>
      <c r="Z55" s="75"/>
    </row>
    <row r="56" spans="1:26" ht="25.5" x14ac:dyDescent="0.25">
      <c r="A56" s="57" t="s">
        <v>15</v>
      </c>
      <c r="B56" s="195">
        <f t="shared" ref="B56:H56" si="141">+B55/B$73</f>
        <v>4.7993202270936397E-2</v>
      </c>
      <c r="C56" s="58">
        <f t="shared" si="141"/>
        <v>4.3924659076776215E-2</v>
      </c>
      <c r="D56" s="58">
        <f t="shared" si="141"/>
        <v>3.7891877592969331E-2</v>
      </c>
      <c r="E56" s="58">
        <f t="shared" si="141"/>
        <v>3.3472452647489839E-2</v>
      </c>
      <c r="F56" s="58">
        <f t="shared" si="141"/>
        <v>2.689132522091469E-2</v>
      </c>
      <c r="G56" s="58">
        <f t="shared" si="141"/>
        <v>4.109723069712589E-2</v>
      </c>
      <c r="H56" s="58">
        <f t="shared" si="141"/>
        <v>4.789406795327944E-2</v>
      </c>
      <c r="I56" s="58">
        <f t="shared" ref="I56:J56" si="142">+I55/I$73</f>
        <v>4.8008010729816912E-2</v>
      </c>
      <c r="J56" s="189">
        <f t="shared" si="142"/>
        <v>3.6214009883032125E-2</v>
      </c>
      <c r="K56" s="189"/>
      <c r="L56" s="59"/>
      <c r="M56" s="3"/>
      <c r="N56" s="44" t="s">
        <v>15</v>
      </c>
      <c r="O56" s="48">
        <f t="shared" ref="O56:U56" si="143">+O55/O$73</f>
        <v>4.7347261191885051E-2</v>
      </c>
      <c r="P56" s="48">
        <f t="shared" si="143"/>
        <v>4.6807754742657193E-2</v>
      </c>
      <c r="Q56" s="48">
        <f t="shared" si="143"/>
        <v>4.1215302263711409E-2</v>
      </c>
      <c r="R56" s="48">
        <f t="shared" si="143"/>
        <v>3.4111130608931763E-2</v>
      </c>
      <c r="S56" s="48">
        <f t="shared" si="143"/>
        <v>3.0509216004482597E-2</v>
      </c>
      <c r="T56" s="48">
        <f t="shared" si="143"/>
        <v>3.3723460853321591E-2</v>
      </c>
      <c r="U56" s="58">
        <f t="shared" si="143"/>
        <v>4.4980772757024674E-2</v>
      </c>
      <c r="V56" s="58">
        <f t="shared" ref="V56" si="144">+V55/V$73</f>
        <v>4.8084340775762437E-2</v>
      </c>
      <c r="W56" s="189">
        <f t="shared" ref="W56:X56" si="145">+W55/W$73</f>
        <v>4.1476297119407361E-2</v>
      </c>
      <c r="X56" s="188">
        <f t="shared" si="145"/>
        <v>3.6148857232192341E-2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46">+D55/C55-1</f>
        <v>-0.18847564554551977</v>
      </c>
      <c r="E57" s="62">
        <f t="shared" ref="E57" si="147">+E55/D55-1</f>
        <v>-6.8595371234766889E-2</v>
      </c>
      <c r="F57" s="62">
        <f t="shared" ref="F57:J57" si="148">+F55/E55-1</f>
        <v>-0.144243684150136</v>
      </c>
      <c r="G57" s="62">
        <f t="shared" si="148"/>
        <v>0.35830677982143455</v>
      </c>
      <c r="H57" s="62">
        <f t="shared" si="148"/>
        <v>0.15080392760296601</v>
      </c>
      <c r="I57" s="62">
        <f t="shared" si="148"/>
        <v>-6.1025390033705551E-2</v>
      </c>
      <c r="J57" s="190">
        <f t="shared" si="148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49">+Q55/P55-1</f>
        <v>-0.15994224858142359</v>
      </c>
      <c r="R57" s="50">
        <f t="shared" ref="R57" si="150">+R55/Q55-1</f>
        <v>-0.18727237666869578</v>
      </c>
      <c r="S57" s="50">
        <f t="shared" ref="S57" si="151">+S55/R55-1</f>
        <v>-3.8583370662150784E-2</v>
      </c>
      <c r="T57" s="50">
        <f t="shared" ref="T57" si="152">+T55/S55-1</f>
        <v>6.3211167634340537E-2</v>
      </c>
      <c r="U57" s="62">
        <f t="shared" ref="U57:X57" si="153">+U55/T55-1</f>
        <v>0.27180763418211074</v>
      </c>
      <c r="V57" s="62">
        <f t="shared" si="153"/>
        <v>1.8954448853221173E-3</v>
      </c>
      <c r="W57" s="190">
        <f t="shared" si="153"/>
        <v>-0.16351872600197759</v>
      </c>
      <c r="X57" s="187">
        <f t="shared" si="153"/>
        <v>-0.12287153459410582</v>
      </c>
      <c r="Y57" s="73"/>
      <c r="Z57" s="52"/>
    </row>
    <row r="58" spans="1:26" ht="13.5" thickBot="1" x14ac:dyDescent="0.3"/>
    <row r="59" spans="1:26" ht="13.5" thickBot="1" x14ac:dyDescent="0.3">
      <c r="A59" s="354" t="s">
        <v>232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54">+C60+1</f>
        <v>2018</v>
      </c>
      <c r="E60" s="39">
        <f t="shared" si="154"/>
        <v>2019</v>
      </c>
      <c r="F60" s="39">
        <f t="shared" si="154"/>
        <v>2020</v>
      </c>
      <c r="G60" s="39">
        <f t="shared" si="154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55">+P60+1</f>
        <v>2018</v>
      </c>
      <c r="R60" s="64">
        <f t="shared" ref="R60" si="156">+Q60+1</f>
        <v>2019</v>
      </c>
      <c r="S60" s="64">
        <f t="shared" ref="S60" si="157">+R60+1</f>
        <v>2020</v>
      </c>
      <c r="T60" s="64">
        <f t="shared" ref="T60" si="158">+S60+1</f>
        <v>2021</v>
      </c>
      <c r="U60" s="39">
        <f t="shared" ref="U60" si="159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60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61">+SUM(C61)+SUM(B62:B72)</f>
        <v>932.87149999999997</v>
      </c>
      <c r="Q61" s="80">
        <f t="shared" si="161"/>
        <v>893.31579999999997</v>
      </c>
      <c r="R61" s="80">
        <f t="shared" si="161"/>
        <v>840.39490000000001</v>
      </c>
      <c r="S61" s="80">
        <f t="shared" si="161"/>
        <v>893.8569</v>
      </c>
      <c r="T61" s="80">
        <f t="shared" si="161"/>
        <v>938.60810000000004</v>
      </c>
      <c r="U61" s="80">
        <f t="shared" si="161"/>
        <v>830.15379999999993</v>
      </c>
      <c r="V61" s="80">
        <f t="shared" si="161"/>
        <v>825.4905</v>
      </c>
      <c r="W61" s="81">
        <f t="shared" si="161"/>
        <v>770.2476999999999</v>
      </c>
      <c r="X61" s="231">
        <f t="shared" ref="X61" si="162">+SUM(K61)+SUM(J62:J72)</f>
        <v>767.6417889999999</v>
      </c>
      <c r="Y61" s="78">
        <f t="shared" ref="Y61:Y66" si="163">+X61/W61-1</f>
        <v>-3.3832116603529361E-3</v>
      </c>
      <c r="Z61" s="7">
        <f t="shared" ref="Z61:Z66" si="164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60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65">+SUM(C61:C62)+SUM(B63:B72)</f>
        <v>923.47460000000012</v>
      </c>
      <c r="Q62" s="80">
        <f t="shared" si="165"/>
        <v>892.93700000000001</v>
      </c>
      <c r="R62" s="80">
        <f t="shared" si="165"/>
        <v>842.95449999999994</v>
      </c>
      <c r="S62" s="80">
        <f t="shared" si="165"/>
        <v>898.68409999999994</v>
      </c>
      <c r="T62" s="80">
        <f t="shared" si="165"/>
        <v>932.46149999999989</v>
      </c>
      <c r="U62" s="80">
        <f t="shared" si="165"/>
        <v>829.73939999999993</v>
      </c>
      <c r="V62" s="80">
        <f t="shared" ref="V62" si="166">+SUM(I61:I62)+SUM(H63:H72)</f>
        <v>817.79320000000007</v>
      </c>
      <c r="W62" s="81">
        <f t="shared" ref="W62" si="167">+SUM(J61:J62)+SUM(I63:I72)</f>
        <v>771.02509999999984</v>
      </c>
      <c r="X62" s="231">
        <f t="shared" ref="X62" si="168">+SUM(K61:K62)+SUM(J63:J72)</f>
        <v>770.70178900000008</v>
      </c>
      <c r="Y62" s="78">
        <f t="shared" si="163"/>
        <v>-4.193261672023052E-4</v>
      </c>
      <c r="Z62" s="7">
        <f t="shared" si="164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60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69">+SUM(C61:C63)+SUM(B64:B72)</f>
        <v>918.15149999999994</v>
      </c>
      <c r="Q63" s="80">
        <f t="shared" si="169"/>
        <v>891.11159999999995</v>
      </c>
      <c r="R63" s="80">
        <f t="shared" si="169"/>
        <v>841.53099999999995</v>
      </c>
      <c r="S63" s="80">
        <f t="shared" si="169"/>
        <v>895.24649999999997</v>
      </c>
      <c r="T63" s="80">
        <f t="shared" si="169"/>
        <v>925.15620000000001</v>
      </c>
      <c r="U63" s="80">
        <f t="shared" si="169"/>
        <v>845.11109999999996</v>
      </c>
      <c r="V63" s="80">
        <f t="shared" si="169"/>
        <v>803.11280000000011</v>
      </c>
      <c r="W63" s="81">
        <f t="shared" ref="W63" si="170">+SUM(J61:J63)+SUM(I64:I72)</f>
        <v>768.28829999999994</v>
      </c>
      <c r="X63" s="231">
        <f t="shared" ref="X63" si="171">+SUM(K61:K63)+SUM(J64:J72)</f>
        <v>771.75248899999997</v>
      </c>
      <c r="Y63" s="78">
        <f t="shared" si="163"/>
        <v>4.5089701352996059E-3</v>
      </c>
      <c r="Z63" s="7">
        <f t="shared" si="164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60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172">+SUM(C61:C64)+SUM(B65:B72)</f>
        <v>904.81209999999987</v>
      </c>
      <c r="Q64" s="80">
        <f t="shared" si="172"/>
        <v>889.66149999999993</v>
      </c>
      <c r="R64" s="80">
        <f t="shared" si="172"/>
        <v>841.82469999999989</v>
      </c>
      <c r="S64" s="80">
        <f t="shared" si="172"/>
        <v>896.96340000000009</v>
      </c>
      <c r="T64" s="80">
        <f t="shared" si="172"/>
        <v>920.71730000000002</v>
      </c>
      <c r="U64" s="80">
        <f t="shared" si="172"/>
        <v>846.21069999999997</v>
      </c>
      <c r="V64" s="80">
        <f t="shared" si="172"/>
        <v>799.32870000000014</v>
      </c>
      <c r="W64" s="81">
        <f t="shared" si="172"/>
        <v>761.73969999999986</v>
      </c>
      <c r="X64" s="231">
        <f t="shared" ref="X64" si="173">+SUM(K61:K64)+SUM(J65:J72)</f>
        <v>776.04188899999997</v>
      </c>
      <c r="Y64" s="78">
        <f t="shared" si="163"/>
        <v>1.8775690698541903E-2</v>
      </c>
      <c r="Z64" s="7">
        <f t="shared" si="164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60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174">+SUM(C61:C65)+SUM(B66:B72)</f>
        <v>909.51599999999985</v>
      </c>
      <c r="Q65" s="80">
        <f t="shared" si="174"/>
        <v>883.15359999999998</v>
      </c>
      <c r="R65" s="80">
        <f t="shared" si="174"/>
        <v>848.56669999999997</v>
      </c>
      <c r="S65" s="80">
        <f t="shared" si="174"/>
        <v>894.92180000000008</v>
      </c>
      <c r="T65" s="80">
        <f t="shared" si="174"/>
        <v>900.47329999999999</v>
      </c>
      <c r="U65" s="80">
        <f t="shared" si="174"/>
        <v>851.22109999999998</v>
      </c>
      <c r="V65" s="80">
        <f t="shared" si="174"/>
        <v>796.83029999999997</v>
      </c>
      <c r="W65" s="81">
        <f t="shared" si="174"/>
        <v>765.81309999999996</v>
      </c>
      <c r="X65" s="231">
        <f t="shared" ref="X65" si="175">+SUM(K61:K65)+SUM(J66:J72)</f>
        <v>769.21268899999995</v>
      </c>
      <c r="Y65" s="78">
        <f t="shared" si="163"/>
        <v>4.4391888830317416E-3</v>
      </c>
      <c r="Z65" s="7">
        <f t="shared" si="164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60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176">+SUM(C61:C66)+SUM(B67:B72)</f>
        <v>919.3119999999999</v>
      </c>
      <c r="Q66" s="80">
        <f t="shared" si="176"/>
        <v>876.09320000000002</v>
      </c>
      <c r="R66" s="80">
        <f t="shared" si="176"/>
        <v>843.61899999999991</v>
      </c>
      <c r="S66" s="80">
        <f t="shared" si="176"/>
        <v>913.60750000000007</v>
      </c>
      <c r="T66" s="80">
        <f t="shared" si="176"/>
        <v>890.14640000000009</v>
      </c>
      <c r="U66" s="80">
        <f t="shared" si="176"/>
        <v>840.57370000000003</v>
      </c>
      <c r="V66" s="80">
        <f t="shared" si="176"/>
        <v>790.28679999999997</v>
      </c>
      <c r="W66" s="81">
        <f t="shared" ref="W66" si="177">+SUM(J61:J66)+SUM(I67:I72)</f>
        <v>760.19659999999999</v>
      </c>
      <c r="X66" s="231">
        <f t="shared" ref="X66" si="178">+SUM(K61:K66)+SUM(J67:J72)</f>
        <v>768.60188900000003</v>
      </c>
      <c r="Y66" s="78">
        <f t="shared" si="163"/>
        <v>1.1056730587850616E-2</v>
      </c>
      <c r="Z66" s="7">
        <f t="shared" si="164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/>
      <c r="L67" s="7"/>
      <c r="N67" s="42" t="s">
        <v>4</v>
      </c>
      <c r="O67" s="80">
        <f>+SUM('[1]1.CONSUMO ARGENTINA POR TIPO '!H312:H323)/10000</f>
        <v>967.51244499999996</v>
      </c>
      <c r="P67" s="80">
        <f t="shared" ref="P67:V67" si="179">+SUM(C61:C67)+SUM(B68:B72)</f>
        <v>921.2346</v>
      </c>
      <c r="Q67" s="80">
        <f t="shared" si="179"/>
        <v>871.11079999999993</v>
      </c>
      <c r="R67" s="80">
        <f t="shared" si="179"/>
        <v>847.25559999999996</v>
      </c>
      <c r="S67" s="80">
        <f t="shared" si="179"/>
        <v>931.34730000000002</v>
      </c>
      <c r="T67" s="80">
        <f t="shared" si="179"/>
        <v>870.0077</v>
      </c>
      <c r="U67" s="80">
        <f t="shared" si="179"/>
        <v>841.24529999999993</v>
      </c>
      <c r="V67" s="80">
        <f t="shared" si="179"/>
        <v>781.96199999999999</v>
      </c>
      <c r="W67" s="81">
        <f t="shared" ref="W67" si="180">+SUM(J61:J67)+SUM(I68:I72)</f>
        <v>765.1644</v>
      </c>
      <c r="X67" s="231"/>
      <c r="Y67" s="78"/>
      <c r="Z67" s="7"/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/>
      <c r="L68" s="7"/>
      <c r="N68" s="42" t="s">
        <v>5</v>
      </c>
      <c r="O68" s="80">
        <f>+SUM('[1]1.CONSUMO ARGENTINA POR TIPO '!H313:H324)/10000</f>
        <v>972.14110099999994</v>
      </c>
      <c r="P68" s="80">
        <f t="shared" ref="P68:V68" si="181">+SUM(C61:C68)+SUM(B69:B72)</f>
        <v>914.32950000000005</v>
      </c>
      <c r="Q68" s="80">
        <f t="shared" si="181"/>
        <v>866.58549999999991</v>
      </c>
      <c r="R68" s="80">
        <f t="shared" si="181"/>
        <v>852.86860000000001</v>
      </c>
      <c r="S68" s="80">
        <f t="shared" si="181"/>
        <v>932.54430000000002</v>
      </c>
      <c r="T68" s="80">
        <f t="shared" si="181"/>
        <v>863.71550000000002</v>
      </c>
      <c r="U68" s="80">
        <f t="shared" si="181"/>
        <v>846.02089999999998</v>
      </c>
      <c r="V68" s="80">
        <f t="shared" si="181"/>
        <v>775.07169999999996</v>
      </c>
      <c r="W68" s="81">
        <f t="shared" ref="W68" si="182">+SUM(J61:J68)+SUM(I69:I72)</f>
        <v>769.45439999999996</v>
      </c>
      <c r="X68" s="231"/>
      <c r="Y68" s="78"/>
      <c r="Z68" s="7"/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/>
      <c r="L69" s="7"/>
      <c r="N69" s="42" t="s">
        <v>6</v>
      </c>
      <c r="O69" s="80">
        <f>+SUM('[1]1.CONSUMO ARGENTINA POR TIPO '!H314:H325)/10000</f>
        <v>972.76155700000004</v>
      </c>
      <c r="P69" s="80">
        <f t="shared" ref="P69:V69" si="183">+SUM(C61:C69)+SUM(B70:B72)</f>
        <v>907.47389999999996</v>
      </c>
      <c r="Q69" s="80">
        <f t="shared" si="183"/>
        <v>855.03329999999994</v>
      </c>
      <c r="R69" s="80">
        <f t="shared" si="183"/>
        <v>859.33539999999994</v>
      </c>
      <c r="S69" s="80">
        <f t="shared" si="183"/>
        <v>940.55520000000001</v>
      </c>
      <c r="T69" s="80">
        <f t="shared" si="183"/>
        <v>850.10829999999999</v>
      </c>
      <c r="U69" s="80">
        <f t="shared" si="183"/>
        <v>850.27520000000004</v>
      </c>
      <c r="V69" s="80">
        <f t="shared" si="183"/>
        <v>768.65459999999996</v>
      </c>
      <c r="W69" s="81">
        <f t="shared" ref="W69" si="184">+SUM(J61:J69)+SUM(I70:I72)</f>
        <v>768.90349999999989</v>
      </c>
      <c r="X69" s="231"/>
      <c r="Y69" s="78"/>
      <c r="Z69" s="7"/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185">+SUM(C61:C70)+SUM(B71:B72)</f>
        <v>902.39879999999994</v>
      </c>
      <c r="Q70" s="80">
        <f t="shared" si="185"/>
        <v>847.17489999999998</v>
      </c>
      <c r="R70" s="80">
        <f t="shared" si="185"/>
        <v>871.19799999999987</v>
      </c>
      <c r="S70" s="80">
        <f t="shared" si="185"/>
        <v>942.16830000000004</v>
      </c>
      <c r="T70" s="80">
        <f t="shared" si="185"/>
        <v>835.22040000000004</v>
      </c>
      <c r="U70" s="80">
        <f t="shared" si="185"/>
        <v>857.32049999999992</v>
      </c>
      <c r="V70" s="80">
        <f t="shared" si="185"/>
        <v>769.60519999999997</v>
      </c>
      <c r="W70" s="81">
        <f t="shared" ref="W70" si="186">+SUM(J61:J70)+SUM(I71:I72)</f>
        <v>761.80058899999995</v>
      </c>
      <c r="X70" s="231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187">+SUM(C61:C71)+SUM(B72)</f>
        <v>900.3282999999999</v>
      </c>
      <c r="Q71" s="80">
        <f t="shared" si="187"/>
        <v>837.57490000000007</v>
      </c>
      <c r="R71" s="80">
        <f t="shared" si="187"/>
        <v>880.46949999999993</v>
      </c>
      <c r="S71" s="80">
        <f t="shared" si="187"/>
        <v>940.7555000000001</v>
      </c>
      <c r="T71" s="80">
        <f t="shared" si="187"/>
        <v>838.62630000000001</v>
      </c>
      <c r="U71" s="80">
        <f t="shared" si="187"/>
        <v>844.93839999999989</v>
      </c>
      <c r="V71" s="80">
        <f t="shared" si="187"/>
        <v>772.38119999999992</v>
      </c>
      <c r="W71" s="81">
        <f t="shared" ref="W71" si="188">+SUM(J61:J71)+SUM(I72)</f>
        <v>763.86838899999987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189">+SUM(C61:C72)</f>
        <v>892.50299999999993</v>
      </c>
      <c r="Q72" s="80">
        <f t="shared" si="189"/>
        <v>839.60210000000006</v>
      </c>
      <c r="R72" s="80">
        <f t="shared" si="189"/>
        <v>885.25929999999994</v>
      </c>
      <c r="S72" s="80">
        <f t="shared" si="189"/>
        <v>942.96580000000006</v>
      </c>
      <c r="T72" s="80">
        <f t="shared" si="189"/>
        <v>838.09540000000004</v>
      </c>
      <c r="U72" s="80">
        <f t="shared" si="189"/>
        <v>827.60979999999995</v>
      </c>
      <c r="V72" s="80">
        <f t="shared" si="189"/>
        <v>775.26019999999983</v>
      </c>
      <c r="W72" s="81">
        <f t="shared" ref="W72" si="190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191">SUM(C61:C72)</f>
        <v>892.50299999999993</v>
      </c>
      <c r="D73" s="54">
        <f t="shared" ref="D73" si="192">SUM(D61:D72)</f>
        <v>839.60210000000006</v>
      </c>
      <c r="E73" s="54">
        <f t="shared" ref="E73" si="193">SUM(E61:E72)</f>
        <v>885.25929999999994</v>
      </c>
      <c r="F73" s="54">
        <f t="shared" ref="F73:H73" si="194">SUM(F61:F72)</f>
        <v>942.96580000000006</v>
      </c>
      <c r="G73" s="54">
        <f t="shared" si="194"/>
        <v>838.09540000000004</v>
      </c>
      <c r="H73" s="54">
        <f t="shared" si="194"/>
        <v>827.60979999999995</v>
      </c>
      <c r="I73" s="54">
        <f t="shared" ref="I73:J73" si="195">SUM(I61:I72)</f>
        <v>775.26019999999983</v>
      </c>
      <c r="J73" s="186">
        <f t="shared" si="195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196">+AVERAGE(Q61:Q72)</f>
        <v>870.27951666666661</v>
      </c>
      <c r="R73" s="157">
        <f t="shared" si="196"/>
        <v>854.60643333333326</v>
      </c>
      <c r="S73" s="157">
        <f t="shared" si="196"/>
        <v>918.63471666666658</v>
      </c>
      <c r="T73" s="157">
        <f t="shared" si="196"/>
        <v>883.61136666666664</v>
      </c>
      <c r="U73" s="226">
        <f t="shared" si="196"/>
        <v>842.53499166666654</v>
      </c>
      <c r="V73" s="226">
        <f t="shared" ref="V73" si="197">+AVERAGE(V61:V72)</f>
        <v>789.6481</v>
      </c>
      <c r="W73" s="220">
        <f t="shared" ref="W73:X73" si="198">+AVERAGE(W61:W72)</f>
        <v>765.76146391666646</v>
      </c>
      <c r="X73" s="197">
        <f t="shared" si="198"/>
        <v>770.65875566666671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199">+D73/C73-1</f>
        <v>-5.9272517851480466E-2</v>
      </c>
      <c r="E74" s="62">
        <f t="shared" ref="E74" si="200">+E73/D73-1</f>
        <v>5.4379568607558104E-2</v>
      </c>
      <c r="F74" s="62">
        <f t="shared" ref="F74" si="201">+F73/E73-1</f>
        <v>6.5185985620258569E-2</v>
      </c>
      <c r="G74" s="62">
        <f t="shared" ref="G74" si="202">+G73/F73-1</f>
        <v>-0.1112133653203542</v>
      </c>
      <c r="H74" s="62">
        <f t="shared" ref="H74:I74" si="203">+H73/G73-1</f>
        <v>-1.2511224855786263E-2</v>
      </c>
      <c r="I74" s="62">
        <f t="shared" si="203"/>
        <v>-6.3253963401593505E-2</v>
      </c>
      <c r="J74" s="190">
        <f t="shared" ref="J74" si="204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05">+Q73/P73-1</f>
        <v>-4.5955869825326512E-2</v>
      </c>
      <c r="R74" s="50">
        <f t="shared" ref="R74" si="206">+R73/Q73-1</f>
        <v>-1.800925223813632E-2</v>
      </c>
      <c r="S74" s="50">
        <f t="shared" ref="S74" si="207">+S73/R73-1</f>
        <v>7.4921368288318968E-2</v>
      </c>
      <c r="T74" s="50">
        <f t="shared" ref="T74" si="208">+T73/S73-1</f>
        <v>-3.8125436982269445E-2</v>
      </c>
      <c r="U74" s="62">
        <f t="shared" ref="U74:X74" si="209">+U73/T73-1</f>
        <v>-4.6486924624970061E-2</v>
      </c>
      <c r="V74" s="62">
        <f t="shared" si="209"/>
        <v>-6.2771151572052819E-2</v>
      </c>
      <c r="W74" s="190">
        <f t="shared" si="209"/>
        <v>-3.0249722735144369E-2</v>
      </c>
      <c r="X74" s="187">
        <f t="shared" si="209"/>
        <v>6.3953228005910745E-3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48" t="str">
        <f>+A5</f>
        <v>DESPACHO DOMESTICO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10">+C79+1</f>
        <v>2018</v>
      </c>
      <c r="E79" s="260">
        <f t="shared" ref="E79" si="211">+D79+1</f>
        <v>2019</v>
      </c>
      <c r="F79" s="260">
        <f t="shared" ref="F79" si="212">+E79+1</f>
        <v>2020</v>
      </c>
      <c r="G79" s="260">
        <f t="shared" ref="G79" si="213">+F79+1</f>
        <v>2021</v>
      </c>
      <c r="H79" s="260">
        <f t="shared" ref="H79" si="214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15">+SUM(C7:C9)</f>
        <v>33.120113000000003</v>
      </c>
      <c r="D80" s="6">
        <f t="shared" si="215"/>
        <v>34.408799999999999</v>
      </c>
      <c r="E80" s="6">
        <f t="shared" si="215"/>
        <v>38.666000000000004</v>
      </c>
      <c r="F80" s="6">
        <f t="shared" si="215"/>
        <v>41.591700000000003</v>
      </c>
      <c r="G80" s="6">
        <f t="shared" si="215"/>
        <v>51.737699999999997</v>
      </c>
      <c r="H80" s="6">
        <f t="shared" si="215"/>
        <v>55.086300000000001</v>
      </c>
      <c r="I80" s="6">
        <f t="shared" si="215"/>
        <v>45.106499999999997</v>
      </c>
      <c r="J80" s="67">
        <f t="shared" si="215"/>
        <v>40.741399999999999</v>
      </c>
      <c r="K80" s="265">
        <f t="shared" si="215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16">+SUM(C10:C12)</f>
        <v>45.295400000000001</v>
      </c>
      <c r="D81" s="6">
        <f t="shared" si="216"/>
        <v>43.645800000000001</v>
      </c>
      <c r="E81" s="6">
        <f t="shared" si="216"/>
        <v>53.444599999999994</v>
      </c>
      <c r="F81" s="6">
        <f t="shared" si="216"/>
        <v>60.509900000000002</v>
      </c>
      <c r="G81" s="6">
        <f t="shared" si="216"/>
        <v>64.952600000000004</v>
      </c>
      <c r="H81" s="6">
        <f t="shared" si="216"/>
        <v>69.371899999999997</v>
      </c>
      <c r="I81" s="6">
        <f t="shared" si="216"/>
        <v>55.423400000000001</v>
      </c>
      <c r="J81" s="67">
        <f t="shared" si="216"/>
        <v>60.289900000000003</v>
      </c>
      <c r="K81" s="265">
        <f t="shared" si="216"/>
        <v>68.232799999999997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7">SUM(B80:B83)</f>
        <v>86.234085999999991</v>
      </c>
      <c r="C84" s="54">
        <f t="shared" si="217"/>
        <v>78.415513000000004</v>
      </c>
      <c r="D84" s="54">
        <f t="shared" si="217"/>
        <v>78.054599999999994</v>
      </c>
      <c r="E84" s="54">
        <f t="shared" si="217"/>
        <v>92.110600000000005</v>
      </c>
      <c r="F84" s="54">
        <f t="shared" si="217"/>
        <v>102.1016</v>
      </c>
      <c r="G84" s="54">
        <f t="shared" si="217"/>
        <v>116.69030000000001</v>
      </c>
      <c r="H84" s="54">
        <f t="shared" si="217"/>
        <v>124.45820000000001</v>
      </c>
      <c r="I84" s="54">
        <f t="shared" si="217"/>
        <v>100.5299</v>
      </c>
      <c r="J84" s="186">
        <f t="shared" si="217"/>
        <v>101.0313</v>
      </c>
      <c r="K84" s="267">
        <f t="shared" si="217"/>
        <v>112.90949999999999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18">+D80/C80-1</f>
        <v>3.8909498889692751E-2</v>
      </c>
      <c r="E85" s="257">
        <f t="shared" si="218"/>
        <v>0.12372416358605953</v>
      </c>
      <c r="F85" s="257">
        <f t="shared" si="218"/>
        <v>7.5665959757926782E-2</v>
      </c>
      <c r="G85" s="257">
        <f t="shared" si="218"/>
        <v>0.24394290206940306</v>
      </c>
      <c r="H85" s="257">
        <f t="shared" si="218"/>
        <v>6.4722629726485792E-2</v>
      </c>
      <c r="I85" s="257">
        <f t="shared" si="218"/>
        <v>-0.18116664215966594</v>
      </c>
      <c r="J85" s="258">
        <f t="shared" si="218"/>
        <v>-9.6773192333699076E-2</v>
      </c>
      <c r="K85" s="269">
        <f t="shared" si="218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19">+D81/C81-1</f>
        <v>-3.6418709184597109E-2</v>
      </c>
      <c r="E86" s="257">
        <f t="shared" ref="E86" si="220">+E81/D81-1</f>
        <v>0.22450728363324757</v>
      </c>
      <c r="F86" s="257">
        <f t="shared" ref="F86" si="221">+F81/E81-1</f>
        <v>0.13219857572140148</v>
      </c>
      <c r="G86" s="257">
        <f t="shared" ref="G86" si="222">+G81/F81-1</f>
        <v>7.3421043498667293E-2</v>
      </c>
      <c r="H86" s="257">
        <f t="shared" ref="H86" si="223">+H81/G81-1</f>
        <v>6.8038846789812757E-2</v>
      </c>
      <c r="I86" s="257">
        <f t="shared" ref="I86" si="224">+I81/H81-1</f>
        <v>-0.20106844413948577</v>
      </c>
      <c r="J86" s="258">
        <f t="shared" ref="J86" si="225">+J81/I81-1</f>
        <v>8.7805872609764135E-2</v>
      </c>
      <c r="K86" s="269">
        <f t="shared" ref="K86" si="226">+K81/J81-1</f>
        <v>0.13174511817070522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48" t="str">
        <f>+A23</f>
        <v>DESPACHO DOMESTICO DE VINO SIN MENCIÓN VARIETAL - Millones de litros</v>
      </c>
      <c r="B95" s="349"/>
      <c r="C95" s="349"/>
      <c r="D95" s="349"/>
      <c r="E95" s="349"/>
      <c r="F95" s="349"/>
      <c r="G95" s="349"/>
      <c r="H95" s="349"/>
      <c r="I95" s="349"/>
      <c r="J95" s="349"/>
      <c r="K95" s="35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27">+C96+1</f>
        <v>2018</v>
      </c>
      <c r="E96" s="260">
        <f t="shared" ref="E96" si="228">+D96+1</f>
        <v>2019</v>
      </c>
      <c r="F96" s="260">
        <f t="shared" ref="F96" si="229">+E96+1</f>
        <v>2020</v>
      </c>
      <c r="G96" s="260">
        <f t="shared" ref="G96" si="230">+F96+1</f>
        <v>2021</v>
      </c>
      <c r="H96" s="260">
        <f t="shared" ref="H96" si="231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32">+SUM(C25:C27)</f>
        <v>146.18610000000001</v>
      </c>
      <c r="D97" s="6">
        <f t="shared" si="232"/>
        <v>144.30289999999999</v>
      </c>
      <c r="E97" s="6">
        <f t="shared" si="232"/>
        <v>143.88490000000002</v>
      </c>
      <c r="F97" s="6">
        <f t="shared" si="232"/>
        <v>150.2227</v>
      </c>
      <c r="G97" s="6">
        <f t="shared" si="232"/>
        <v>121.4341</v>
      </c>
      <c r="H97" s="6">
        <f t="shared" si="232"/>
        <v>123.9375</v>
      </c>
      <c r="I97" s="6">
        <f t="shared" si="232"/>
        <v>110.70420000000001</v>
      </c>
      <c r="J97" s="67">
        <f t="shared" si="232"/>
        <v>109.45710000000001</v>
      </c>
      <c r="K97" s="265">
        <f t="shared" si="232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33">+SUM(C28:C30)</f>
        <v>179.37909999999999</v>
      </c>
      <c r="D98" s="6">
        <f t="shared" si="233"/>
        <v>168.07079999999999</v>
      </c>
      <c r="E98" s="6">
        <f t="shared" si="233"/>
        <v>162.27760000000001</v>
      </c>
      <c r="F98" s="6">
        <f t="shared" si="233"/>
        <v>174.46549999999999</v>
      </c>
      <c r="G98" s="6">
        <f t="shared" si="233"/>
        <v>131.5557</v>
      </c>
      <c r="H98" s="6">
        <f t="shared" si="233"/>
        <v>121.20750000000001</v>
      </c>
      <c r="I98" s="6">
        <f t="shared" si="233"/>
        <v>123.3112</v>
      </c>
      <c r="J98" s="67">
        <f t="shared" si="233"/>
        <v>114.57419999999999</v>
      </c>
      <c r="K98" s="265">
        <f t="shared" si="233"/>
        <v>101.34100000000001</v>
      </c>
    </row>
    <row r="99" spans="1:11" x14ac:dyDescent="0.25">
      <c r="A99" s="264" t="s">
        <v>301</v>
      </c>
      <c r="B99" s="193"/>
      <c r="C99" s="6"/>
      <c r="D99" s="6"/>
      <c r="E99" s="6"/>
      <c r="F99" s="6"/>
      <c r="G99" s="6"/>
      <c r="H99" s="6"/>
      <c r="I99" s="6"/>
      <c r="J99" s="67"/>
      <c r="K99" s="265"/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34">SUM(B97:B100)</f>
        <v>338.92411700000002</v>
      </c>
      <c r="C101" s="54">
        <f t="shared" si="234"/>
        <v>325.5652</v>
      </c>
      <c r="D101" s="54">
        <f t="shared" si="234"/>
        <v>312.37369999999999</v>
      </c>
      <c r="E101" s="54">
        <f t="shared" si="234"/>
        <v>306.16250000000002</v>
      </c>
      <c r="F101" s="54">
        <f t="shared" si="234"/>
        <v>324.68819999999999</v>
      </c>
      <c r="G101" s="54">
        <f t="shared" si="234"/>
        <v>252.9898</v>
      </c>
      <c r="H101" s="54">
        <f t="shared" si="234"/>
        <v>245.14500000000001</v>
      </c>
      <c r="I101" s="54">
        <f t="shared" si="234"/>
        <v>234.0154</v>
      </c>
      <c r="J101" s="186">
        <f t="shared" si="234"/>
        <v>224.03129999999999</v>
      </c>
      <c r="K101" s="267">
        <f t="shared" si="234"/>
        <v>216.09360000000001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35">+D97/C97-1</f>
        <v>-1.2882209731294725E-2</v>
      </c>
      <c r="E102" s="257">
        <f t="shared" si="235"/>
        <v>-2.8966846820124292E-3</v>
      </c>
      <c r="F102" s="257">
        <f t="shared" si="235"/>
        <v>4.4047707577375972E-2</v>
      </c>
      <c r="G102" s="257">
        <f t="shared" si="235"/>
        <v>-0.19163947925313551</v>
      </c>
      <c r="H102" s="257">
        <f t="shared" si="235"/>
        <v>2.0615296691785856E-2</v>
      </c>
      <c r="I102" s="257">
        <f t="shared" si="235"/>
        <v>-0.10677397881996964</v>
      </c>
      <c r="J102" s="258">
        <f t="shared" si="235"/>
        <v>-1.1265155251562353E-2</v>
      </c>
      <c r="K102" s="269">
        <f t="shared" si="235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36">+D98/C98-1</f>
        <v>-6.3041346511382934E-2</v>
      </c>
      <c r="E103" s="257">
        <f t="shared" ref="E103" si="237">+E98/D98-1</f>
        <v>-3.4468807193159035E-2</v>
      </c>
      <c r="F103" s="257">
        <f t="shared" ref="F103" si="238">+F98/E98-1</f>
        <v>7.5105251741460322E-2</v>
      </c>
      <c r="G103" s="257">
        <f t="shared" ref="G103" si="239">+G98/F98-1</f>
        <v>-0.24595005889416532</v>
      </c>
      <c r="H103" s="257">
        <f t="shared" ref="H103" si="240">+H98/G98-1</f>
        <v>-7.8660217687260947E-2</v>
      </c>
      <c r="I103" s="257">
        <f t="shared" ref="I103" si="241">+I98/H98-1</f>
        <v>1.7356186704617915E-2</v>
      </c>
      <c r="J103" s="258">
        <f t="shared" ref="J103" si="242">+J98/I98-1</f>
        <v>-7.0853255827532324E-2</v>
      </c>
      <c r="K103" s="269">
        <f t="shared" ref="K103" si="243">+K98/J98-1</f>
        <v>-0.1154989517709919</v>
      </c>
    </row>
    <row r="104" spans="1:11" x14ac:dyDescent="0.25">
      <c r="A104" s="268" t="s">
        <v>305</v>
      </c>
      <c r="B104" s="256"/>
      <c r="C104" s="257"/>
      <c r="D104" s="257"/>
      <c r="E104" s="257"/>
      <c r="F104" s="257"/>
      <c r="G104" s="257"/>
      <c r="H104" s="257"/>
      <c r="I104" s="257"/>
      <c r="J104" s="258"/>
      <c r="K104" s="269"/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48" t="str">
        <f>+A41</f>
        <v>DESPACHO DOMESTICO DE VINO ESPUMANTE Y GASIFICADO - Millones de litros</v>
      </c>
      <c r="B112" s="349"/>
      <c r="C112" s="349"/>
      <c r="D112" s="349"/>
      <c r="E112" s="349"/>
      <c r="F112" s="349"/>
      <c r="G112" s="349"/>
      <c r="H112" s="349"/>
      <c r="I112" s="349"/>
      <c r="J112" s="349"/>
      <c r="K112" s="35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44">+C113+1</f>
        <v>2018</v>
      </c>
      <c r="E113" s="260">
        <f t="shared" ref="E113" si="245">+D113+1</f>
        <v>2019</v>
      </c>
      <c r="F113" s="260">
        <f t="shared" ref="F113" si="246">+E113+1</f>
        <v>2020</v>
      </c>
      <c r="G113" s="260">
        <f t="shared" ref="G113" si="247">+F113+1</f>
        <v>2021</v>
      </c>
      <c r="H113" s="260">
        <f t="shared" ref="H113" si="248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249">+SUM(C43:C45)</f>
        <v>6.53979</v>
      </c>
      <c r="D114" s="6">
        <f t="shared" si="249"/>
        <v>5.6552000000000007</v>
      </c>
      <c r="E114" s="6">
        <f t="shared" si="249"/>
        <v>4.0521000000000003</v>
      </c>
      <c r="F114" s="6">
        <f t="shared" si="249"/>
        <v>4.0533000000000001</v>
      </c>
      <c r="G114" s="6">
        <f t="shared" si="249"/>
        <v>5.1682000000000006</v>
      </c>
      <c r="H114" s="6">
        <f t="shared" si="249"/>
        <v>6.3169000000000004</v>
      </c>
      <c r="I114" s="6">
        <f t="shared" si="249"/>
        <v>5.4825999999999997</v>
      </c>
      <c r="J114" s="67">
        <f t="shared" si="249"/>
        <v>4.0001999999999995</v>
      </c>
      <c r="K114" s="265">
        <f t="shared" si="249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250">+SUM(C46:C48)</f>
        <v>8.9040999999999997</v>
      </c>
      <c r="D115" s="6">
        <f t="shared" si="250"/>
        <v>6.9603000000000002</v>
      </c>
      <c r="E115" s="6">
        <f t="shared" si="250"/>
        <v>5.1063999999999998</v>
      </c>
      <c r="F115" s="6">
        <f t="shared" si="250"/>
        <v>3.8829000000000002</v>
      </c>
      <c r="G115" s="6">
        <f t="shared" si="250"/>
        <v>7.4425000000000008</v>
      </c>
      <c r="H115" s="6">
        <f t="shared" si="250"/>
        <v>8.9931000000000001</v>
      </c>
      <c r="I115" s="6">
        <f t="shared" si="250"/>
        <v>8.1868000000000016</v>
      </c>
      <c r="J115" s="67">
        <f t="shared" si="250"/>
        <v>4.2766999999999999</v>
      </c>
      <c r="K115" s="265">
        <f t="shared" si="250"/>
        <v>4.5569999999999995</v>
      </c>
    </row>
    <row r="116" spans="1:11" x14ac:dyDescent="0.25">
      <c r="A116" s="264" t="s">
        <v>301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251">SUM(B114:B117)</f>
        <v>16.784689</v>
      </c>
      <c r="C118" s="54">
        <f t="shared" si="251"/>
        <v>15.44389</v>
      </c>
      <c r="D118" s="54">
        <f t="shared" si="251"/>
        <v>12.615500000000001</v>
      </c>
      <c r="E118" s="54">
        <f t="shared" si="251"/>
        <v>9.1585000000000001</v>
      </c>
      <c r="F118" s="54">
        <f t="shared" si="251"/>
        <v>7.9362000000000004</v>
      </c>
      <c r="G118" s="54">
        <f t="shared" si="251"/>
        <v>12.610700000000001</v>
      </c>
      <c r="H118" s="54">
        <f t="shared" si="251"/>
        <v>15.31</v>
      </c>
      <c r="I118" s="54">
        <f t="shared" si="251"/>
        <v>13.669400000000001</v>
      </c>
      <c r="J118" s="186">
        <f t="shared" si="251"/>
        <v>8.2768999999999995</v>
      </c>
      <c r="K118" s="267">
        <f t="shared" si="251"/>
        <v>8.5086999999999993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252">+D114/C114-1</f>
        <v>-0.13526275308534363</v>
      </c>
      <c r="E119" s="257">
        <f t="shared" si="252"/>
        <v>-0.28347361720186737</v>
      </c>
      <c r="F119" s="257">
        <f t="shared" si="252"/>
        <v>2.9614274080103087E-4</v>
      </c>
      <c r="G119" s="257">
        <f t="shared" si="252"/>
        <v>0.27505982779463656</v>
      </c>
      <c r="H119" s="257">
        <f t="shared" si="252"/>
        <v>0.22226307031461623</v>
      </c>
      <c r="I119" s="257">
        <f t="shared" si="252"/>
        <v>-0.13207427693963825</v>
      </c>
      <c r="J119" s="258">
        <f t="shared" si="252"/>
        <v>-0.27038266515886633</v>
      </c>
      <c r="K119" s="269">
        <f t="shared" si="252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253">+D115/C115-1</f>
        <v>-0.21830392740422944</v>
      </c>
      <c r="E120" s="257">
        <f t="shared" ref="E120" si="254">+E115/D115-1</f>
        <v>-0.26635346177607289</v>
      </c>
      <c r="F120" s="257">
        <f t="shared" ref="F120" si="255">+F115/E115-1</f>
        <v>-0.2396012846623844</v>
      </c>
      <c r="G120" s="257">
        <f t="shared" ref="G120" si="256">+G115/F115-1</f>
        <v>0.91673749002034577</v>
      </c>
      <c r="H120" s="257">
        <f t="shared" ref="H120" si="257">+H115/G115-1</f>
        <v>0.20834397044004027</v>
      </c>
      <c r="I120" s="257">
        <f t="shared" ref="I120" si="258">+I115/H115-1</f>
        <v>-8.9657626402463886E-2</v>
      </c>
      <c r="J120" s="258">
        <f t="shared" ref="J120" si="259">+J115/I115-1</f>
        <v>-0.47761029950652278</v>
      </c>
      <c r="K120" s="269">
        <f t="shared" ref="K120" si="260">+K115/J115-1</f>
        <v>6.5541188299389708E-2</v>
      </c>
    </row>
    <row r="121" spans="1:11" x14ac:dyDescent="0.25">
      <c r="A121" s="268" t="s">
        <v>305</v>
      </c>
      <c r="B121" s="256"/>
      <c r="C121" s="257"/>
      <c r="D121" s="257"/>
      <c r="E121" s="257"/>
      <c r="F121" s="257"/>
      <c r="G121" s="257"/>
      <c r="H121" s="257"/>
      <c r="I121" s="257"/>
      <c r="J121" s="258"/>
      <c r="K121" s="269"/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45" t="str">
        <f>+A59</f>
        <v>DESPACHO DOMESTICO TOTAL DE VINO - Millones de litros</v>
      </c>
      <c r="B129" s="346"/>
      <c r="C129" s="346"/>
      <c r="D129" s="346"/>
      <c r="E129" s="346"/>
      <c r="F129" s="346"/>
      <c r="G129" s="346"/>
      <c r="H129" s="346"/>
      <c r="I129" s="346"/>
      <c r="J129" s="346"/>
      <c r="K129" s="34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261">+C130+1</f>
        <v>2018</v>
      </c>
      <c r="E130" s="260">
        <f t="shared" ref="E130" si="262">+D130+1</f>
        <v>2019</v>
      </c>
      <c r="F130" s="260">
        <f t="shared" ref="F130" si="263">+E130+1</f>
        <v>2020</v>
      </c>
      <c r="G130" s="260">
        <f t="shared" ref="G130" si="264">+F130+1</f>
        <v>2021</v>
      </c>
      <c r="H130" s="260">
        <f t="shared" ref="H130" si="265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266">+SUM(C61:C63)</f>
        <v>186.5857</v>
      </c>
      <c r="D131" s="80">
        <f t="shared" si="266"/>
        <v>185.1943</v>
      </c>
      <c r="E131" s="80">
        <f t="shared" si="266"/>
        <v>187.1232</v>
      </c>
      <c r="F131" s="80">
        <f t="shared" si="266"/>
        <v>197.1104</v>
      </c>
      <c r="G131" s="80">
        <f t="shared" si="266"/>
        <v>179.30079999999998</v>
      </c>
      <c r="H131" s="80">
        <f t="shared" si="266"/>
        <v>186.31650000000002</v>
      </c>
      <c r="I131" s="80">
        <f t="shared" si="266"/>
        <v>161.81950000000001</v>
      </c>
      <c r="J131" s="81">
        <f t="shared" si="266"/>
        <v>154.8476</v>
      </c>
      <c r="K131" s="310">
        <f t="shared" si="266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267">+SUM(C64:C66)</f>
        <v>234.63310000000001</v>
      </c>
      <c r="D132" s="6">
        <f t="shared" si="267"/>
        <v>219.6147</v>
      </c>
      <c r="E132" s="6">
        <f t="shared" si="267"/>
        <v>221.70269999999999</v>
      </c>
      <c r="F132" s="6">
        <f t="shared" si="267"/>
        <v>240.06369999999998</v>
      </c>
      <c r="G132" s="6">
        <f t="shared" si="267"/>
        <v>205.0539</v>
      </c>
      <c r="H132" s="6">
        <f t="shared" si="267"/>
        <v>200.51649999999998</v>
      </c>
      <c r="I132" s="6">
        <f t="shared" si="267"/>
        <v>187.69049999999999</v>
      </c>
      <c r="J132" s="67">
        <f t="shared" si="267"/>
        <v>179.59879999999998</v>
      </c>
      <c r="K132" s="265">
        <f t="shared" si="267"/>
        <v>176.44819999999999</v>
      </c>
    </row>
    <row r="133" spans="1:11" x14ac:dyDescent="0.25">
      <c r="A133" s="264" t="s">
        <v>301</v>
      </c>
      <c r="B133" s="193"/>
      <c r="C133" s="6"/>
      <c r="D133" s="6"/>
      <c r="E133" s="6"/>
      <c r="F133" s="6"/>
      <c r="G133" s="6"/>
      <c r="H133" s="6"/>
      <c r="I133" s="6"/>
      <c r="J133" s="67"/>
      <c r="K133" s="265"/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268">SUM(B131:B134)</f>
        <v>443.54480000000001</v>
      </c>
      <c r="C135" s="54">
        <f t="shared" si="268"/>
        <v>421.21879999999999</v>
      </c>
      <c r="D135" s="54">
        <f t="shared" si="268"/>
        <v>404.80899999999997</v>
      </c>
      <c r="E135" s="54">
        <f t="shared" si="268"/>
        <v>408.82589999999999</v>
      </c>
      <c r="F135" s="54">
        <f t="shared" si="268"/>
        <v>437.17409999999995</v>
      </c>
      <c r="G135" s="54">
        <f t="shared" si="268"/>
        <v>384.35469999999998</v>
      </c>
      <c r="H135" s="54">
        <f t="shared" si="268"/>
        <v>386.83299999999997</v>
      </c>
      <c r="I135" s="54">
        <f t="shared" si="268"/>
        <v>349.51</v>
      </c>
      <c r="J135" s="186">
        <f t="shared" si="268"/>
        <v>334.44639999999998</v>
      </c>
      <c r="K135" s="267">
        <f t="shared" si="268"/>
        <v>340.41249999999997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269">+D131/C131-1</f>
        <v>-7.4571631159301432E-3</v>
      </c>
      <c r="E136" s="257">
        <f t="shared" si="269"/>
        <v>1.0415547346759535E-2</v>
      </c>
      <c r="F136" s="257">
        <f t="shared" si="269"/>
        <v>5.3372323688350765E-2</v>
      </c>
      <c r="G136" s="257">
        <f t="shared" si="269"/>
        <v>-9.0353426303229178E-2</v>
      </c>
      <c r="H136" s="257">
        <f t="shared" si="269"/>
        <v>3.9128102049740043E-2</v>
      </c>
      <c r="I136" s="257">
        <f t="shared" si="269"/>
        <v>-0.13148057203736663</v>
      </c>
      <c r="J136" s="258">
        <f t="shared" si="269"/>
        <v>-4.3084424312273883E-2</v>
      </c>
      <c r="K136" s="269">
        <f t="shared" si="269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270">+D132/C132-1</f>
        <v>-6.4008019328901211E-2</v>
      </c>
      <c r="E137" s="257">
        <f t="shared" ref="E137" si="271">+E132/D132-1</f>
        <v>9.5075602862648712E-3</v>
      </c>
      <c r="F137" s="257">
        <f t="shared" ref="F137" si="272">+F132/E132-1</f>
        <v>8.2818116333269742E-2</v>
      </c>
      <c r="G137" s="257">
        <f t="shared" ref="G137" si="273">+G132/F132-1</f>
        <v>-0.145835459505123</v>
      </c>
      <c r="H137" s="257">
        <f t="shared" ref="H137" si="274">+H132/G132-1</f>
        <v>-2.2127840533635368E-2</v>
      </c>
      <c r="I137" s="257">
        <f t="shared" ref="I137" si="275">+I132/H132-1</f>
        <v>-6.3964810875912881E-2</v>
      </c>
      <c r="J137" s="258">
        <f t="shared" ref="J137" si="276">+J132/I132-1</f>
        <v>-4.3111931610816723E-2</v>
      </c>
      <c r="K137" s="269">
        <f t="shared" ref="K137" si="277">+K132/J132-1</f>
        <v>-1.7542433468375029E-2</v>
      </c>
    </row>
    <row r="138" spans="1:11" x14ac:dyDescent="0.25">
      <c r="A138" s="268" t="s">
        <v>305</v>
      </c>
      <c r="B138" s="256"/>
      <c r="C138" s="257"/>
      <c r="D138" s="257"/>
      <c r="E138" s="257"/>
      <c r="F138" s="257"/>
      <c r="G138" s="257"/>
      <c r="H138" s="257"/>
      <c r="I138" s="257"/>
      <c r="J138" s="258"/>
      <c r="K138" s="269"/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42" t="s">
        <v>309</v>
      </c>
      <c r="B146" s="343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278">+C147+1</f>
        <v>2018</v>
      </c>
      <c r="E147" s="260">
        <f t="shared" si="278"/>
        <v>2019</v>
      </c>
      <c r="F147" s="260">
        <f t="shared" si="278"/>
        <v>2020</v>
      </c>
      <c r="G147" s="260">
        <f t="shared" si="278"/>
        <v>2021</v>
      </c>
      <c r="H147" s="260">
        <f t="shared" si="278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279">+C131+C132</f>
        <v>421.21879999999999</v>
      </c>
      <c r="D148" s="6">
        <f t="shared" si="279"/>
        <v>404.80899999999997</v>
      </c>
      <c r="E148" s="6">
        <f t="shared" si="279"/>
        <v>408.82589999999999</v>
      </c>
      <c r="F148" s="6">
        <f t="shared" si="279"/>
        <v>437.17409999999995</v>
      </c>
      <c r="G148" s="6">
        <f t="shared" si="279"/>
        <v>384.35469999999998</v>
      </c>
      <c r="H148" s="6">
        <f t="shared" si="279"/>
        <v>386.83299999999997</v>
      </c>
      <c r="I148" s="6">
        <f t="shared" si="279"/>
        <v>349.51</v>
      </c>
      <c r="J148" s="67">
        <f t="shared" si="279"/>
        <v>334.44639999999998</v>
      </c>
      <c r="K148" s="315">
        <f t="shared" si="279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280">SUM(B148:B149)</f>
        <v>443.54480000000001</v>
      </c>
      <c r="C150" s="54">
        <f t="shared" si="280"/>
        <v>421.21879999999999</v>
      </c>
      <c r="D150" s="54">
        <f t="shared" si="280"/>
        <v>404.80899999999997</v>
      </c>
      <c r="E150" s="54">
        <f t="shared" si="280"/>
        <v>408.82589999999999</v>
      </c>
      <c r="F150" s="54">
        <f t="shared" si="280"/>
        <v>437.17409999999995</v>
      </c>
      <c r="G150" s="54">
        <f t="shared" si="280"/>
        <v>384.35469999999998</v>
      </c>
      <c r="H150" s="54">
        <f t="shared" si="280"/>
        <v>386.83299999999997</v>
      </c>
      <c r="I150" s="54">
        <f t="shared" si="280"/>
        <v>349.51</v>
      </c>
      <c r="J150" s="186">
        <f t="shared" si="280"/>
        <v>334.44639999999998</v>
      </c>
      <c r="K150" s="317">
        <f t="shared" si="280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281">+D148/C148-1</f>
        <v>-3.8957900264660617E-2</v>
      </c>
      <c r="E151" s="257">
        <f t="shared" si="281"/>
        <v>9.9229513177820916E-3</v>
      </c>
      <c r="F151" s="257">
        <f t="shared" si="281"/>
        <v>6.9340518788070904E-2</v>
      </c>
      <c r="G151" s="257">
        <f t="shared" si="281"/>
        <v>-0.12082005772986093</v>
      </c>
      <c r="H151" s="257">
        <f t="shared" si="281"/>
        <v>6.4479502917487164E-3</v>
      </c>
      <c r="I151" s="257">
        <f t="shared" si="281"/>
        <v>-9.6483495461865965E-2</v>
      </c>
      <c r="J151" s="258">
        <f t="shared" si="281"/>
        <v>-4.3099196017281405E-2</v>
      </c>
      <c r="K151" s="318">
        <f t="shared" si="281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46:K146"/>
    <mergeCell ref="A129:K129"/>
    <mergeCell ref="A78:K78"/>
    <mergeCell ref="A95:K95"/>
    <mergeCell ref="A112:K112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AD92" sqref="AD92"/>
    </sheetView>
  </sheetViews>
  <sheetFormatPr baseColWidth="10" defaultRowHeight="15" x14ac:dyDescent="0.25"/>
  <cols>
    <col min="1" max="1" width="11.85546875" style="1" customWidth="1"/>
    <col min="2" max="11" width="6.14062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234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235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192">
        <v>2023</v>
      </c>
      <c r="W6" s="40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7">
        <f t="shared" si="3"/>
        <v>28.803999999999998</v>
      </c>
      <c r="W7" s="3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7">
        <f t="shared" si="6"/>
        <v>28.675000000000001</v>
      </c>
      <c r="W8" s="3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7">
        <f t="shared" si="7"/>
        <v>28.3081</v>
      </c>
      <c r="W9" s="3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7">
        <f t="shared" si="8"/>
        <v>28.365299999999998</v>
      </c>
      <c r="W10" s="3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7">
        <f t="shared" si="9"/>
        <v>28.9483</v>
      </c>
      <c r="W11" s="3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7">
        <f t="shared" si="10"/>
        <v>30.03</v>
      </c>
      <c r="W12" s="3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/>
      <c r="L13" s="7"/>
      <c r="M13" s="2"/>
      <c r="N13" s="42" t="s">
        <v>4</v>
      </c>
      <c r="O13" s="6">
        <f>+'[2]2.CONSUMO ARGENTINA POR ENVASE'!$B747/10000</f>
        <v>35.323733333333337</v>
      </c>
      <c r="P13" s="6">
        <f t="shared" ref="P13:W13" si="11">+SUM(C7:C13)+SUM(B14:B18)</f>
        <v>37.494999999999997</v>
      </c>
      <c r="Q13" s="6">
        <f t="shared" si="11"/>
        <v>34.951799999999999</v>
      </c>
      <c r="R13" s="6">
        <f t="shared" si="11"/>
        <v>32.0458</v>
      </c>
      <c r="S13" s="6">
        <f t="shared" si="11"/>
        <v>33.039900000000003</v>
      </c>
      <c r="T13" s="6">
        <f t="shared" si="11"/>
        <v>33.535299999999999</v>
      </c>
      <c r="U13" s="6">
        <f t="shared" si="11"/>
        <v>30.539400000000001</v>
      </c>
      <c r="V13" s="67">
        <f t="shared" si="11"/>
        <v>29.362500000000001</v>
      </c>
      <c r="W13" s="37">
        <f t="shared" si="11"/>
        <v>23.1267</v>
      </c>
      <c r="X13" s="37"/>
      <c r="Y13" s="78"/>
      <c r="Z13" s="7"/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/>
      <c r="L14" s="7"/>
      <c r="M14" s="2"/>
      <c r="N14" s="42" t="s">
        <v>5</v>
      </c>
      <c r="O14" s="6">
        <f>+'[2]2.CONSUMO ARGENTINA POR ENVASE'!$B748/10000</f>
        <v>35.240533333333332</v>
      </c>
      <c r="P14" s="6">
        <f t="shared" ref="P14:W14" si="12">+SUM(C7:C14)+SUM(B15:B18)</f>
        <v>36.860199999999999</v>
      </c>
      <c r="Q14" s="6">
        <f t="shared" si="12"/>
        <v>34.756399999999999</v>
      </c>
      <c r="R14" s="6">
        <f t="shared" si="12"/>
        <v>31.8401</v>
      </c>
      <c r="S14" s="6">
        <f t="shared" si="12"/>
        <v>33.281700000000001</v>
      </c>
      <c r="T14" s="6">
        <f t="shared" si="12"/>
        <v>33.158000000000001</v>
      </c>
      <c r="U14" s="6">
        <f t="shared" si="12"/>
        <v>30.308999999999997</v>
      </c>
      <c r="V14" s="67">
        <f t="shared" si="12"/>
        <v>29.356300000000001</v>
      </c>
      <c r="W14" s="37">
        <f t="shared" si="12"/>
        <v>22.630499999999998</v>
      </c>
      <c r="X14" s="37"/>
      <c r="Y14" s="78"/>
      <c r="Z14" s="7"/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/>
      <c r="L15" s="7"/>
      <c r="M15" s="2"/>
      <c r="N15" s="42" t="s">
        <v>6</v>
      </c>
      <c r="O15" s="6">
        <f>+'[2]2.CONSUMO ARGENTINA POR ENVASE'!$B749/10000</f>
        <v>35.755433333333329</v>
      </c>
      <c r="P15" s="6">
        <f t="shared" ref="P15:W15" si="13">+SUM(C7:C15)+SUM(B16:B18)</f>
        <v>37.179299999999998</v>
      </c>
      <c r="Q15" s="6">
        <f t="shared" si="13"/>
        <v>33.729399999999998</v>
      </c>
      <c r="R15" s="6">
        <f t="shared" si="13"/>
        <v>31.5425</v>
      </c>
      <c r="S15" s="6">
        <f t="shared" si="13"/>
        <v>34.0702</v>
      </c>
      <c r="T15" s="6">
        <f t="shared" si="13"/>
        <v>32.846800000000002</v>
      </c>
      <c r="U15" s="6">
        <f t="shared" si="13"/>
        <v>29.944899999999997</v>
      </c>
      <c r="V15" s="67">
        <f t="shared" si="13"/>
        <v>28.665700000000001</v>
      </c>
      <c r="W15" s="37">
        <f t="shared" si="13"/>
        <v>22.7376</v>
      </c>
      <c r="X15" s="37"/>
      <c r="Y15" s="78"/>
      <c r="Z15" s="7"/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34.300988888888888</v>
      </c>
      <c r="P16" s="6">
        <f t="shared" ref="P16:W16" si="14">+SUM(C7:C16)+SUM(B17:B18)</f>
        <v>36.650999999999996</v>
      </c>
      <c r="Q16" s="6">
        <f t="shared" si="14"/>
        <v>33.306800000000003</v>
      </c>
      <c r="R16" s="6">
        <f t="shared" si="14"/>
        <v>31.452700000000004</v>
      </c>
      <c r="S16" s="6">
        <f t="shared" si="14"/>
        <v>35.087699999999998</v>
      </c>
      <c r="T16" s="6">
        <f t="shared" si="14"/>
        <v>31.8384</v>
      </c>
      <c r="U16" s="6">
        <f t="shared" si="14"/>
        <v>29.9343</v>
      </c>
      <c r="V16" s="67">
        <f t="shared" si="14"/>
        <v>28.1616</v>
      </c>
      <c r="W16" s="37">
        <f t="shared" si="14"/>
        <v>22.672399999999996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15">+SUM(C7:C17)+SUM(B18)</f>
        <v>36.455600000000004</v>
      </c>
      <c r="Q17" s="6">
        <f t="shared" si="15"/>
        <v>33.128100000000003</v>
      </c>
      <c r="R17" s="6">
        <f t="shared" si="15"/>
        <v>31.068400000000004</v>
      </c>
      <c r="S17" s="6">
        <f t="shared" si="15"/>
        <v>35.477999999999994</v>
      </c>
      <c r="T17" s="6">
        <f t="shared" si="15"/>
        <v>32.131799999999998</v>
      </c>
      <c r="U17" s="6">
        <f t="shared" si="15"/>
        <v>29.485999999999997</v>
      </c>
      <c r="V17" s="67">
        <f t="shared" si="15"/>
        <v>27.544600000000003</v>
      </c>
      <c r="W17" s="37">
        <f t="shared" si="15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16">+SUM(C7:C18)</f>
        <v>36.200000000000003</v>
      </c>
      <c r="Q18" s="6">
        <f t="shared" si="16"/>
        <v>32.605600000000003</v>
      </c>
      <c r="R18" s="6">
        <f t="shared" si="16"/>
        <v>31.376300000000004</v>
      </c>
      <c r="S18" s="6">
        <f t="shared" si="16"/>
        <v>35.896699999999996</v>
      </c>
      <c r="T18" s="6">
        <f t="shared" si="16"/>
        <v>31.777999999999999</v>
      </c>
      <c r="U18" s="6">
        <f t="shared" si="16"/>
        <v>28.790199999999999</v>
      </c>
      <c r="V18" s="67">
        <f t="shared" si="16"/>
        <v>27.360300000000002</v>
      </c>
      <c r="W18" s="37">
        <f t="shared" si="16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17">SUM(C7:C18)</f>
        <v>36.200000000000003</v>
      </c>
      <c r="D19" s="54">
        <f t="shared" si="17"/>
        <v>32.605600000000003</v>
      </c>
      <c r="E19" s="54">
        <f t="shared" si="17"/>
        <v>31.376300000000004</v>
      </c>
      <c r="F19" s="54">
        <f t="shared" si="17"/>
        <v>35.896699999999996</v>
      </c>
      <c r="G19" s="54">
        <f t="shared" si="17"/>
        <v>31.777999999999999</v>
      </c>
      <c r="H19" s="54">
        <f t="shared" si="17"/>
        <v>28.790199999999999</v>
      </c>
      <c r="I19" s="54">
        <f t="shared" ref="I19:J19" si="18">SUM(I7:I18)</f>
        <v>27.360300000000002</v>
      </c>
      <c r="J19" s="186">
        <f t="shared" si="18"/>
        <v>22.314799999999998</v>
      </c>
      <c r="K19" s="186"/>
      <c r="L19" s="165"/>
      <c r="M19" s="3"/>
      <c r="N19" s="43" t="s">
        <v>14</v>
      </c>
      <c r="O19" s="46">
        <f t="shared" ref="O19" si="19">+AVERAGE(O7:O18)</f>
        <v>35.258469444444437</v>
      </c>
      <c r="P19" s="46">
        <f>+AVERAGE(P7:P18)</f>
        <v>37.406583333333337</v>
      </c>
      <c r="Q19" s="46">
        <f t="shared" ref="Q19:T19" si="20">+AVERAGE(Q7:Q18)</f>
        <v>34.555416666666666</v>
      </c>
      <c r="R19" s="46">
        <f t="shared" si="20"/>
        <v>32.01753333333334</v>
      </c>
      <c r="S19" s="46">
        <f t="shared" si="20"/>
        <v>32.838741666666671</v>
      </c>
      <c r="T19" s="46">
        <f t="shared" si="20"/>
        <v>34.038675000000005</v>
      </c>
      <c r="U19" s="226">
        <f t="shared" ref="U19:V19" si="21">+AVERAGE(U7:U18)</f>
        <v>30.536033333333336</v>
      </c>
      <c r="V19" s="220">
        <f t="shared" si="21"/>
        <v>28.631808333333336</v>
      </c>
      <c r="W19" s="197">
        <f t="shared" ref="W19:X19" si="22">+AVERAGE(W7:W18)</f>
        <v>23.957149999999999</v>
      </c>
      <c r="X19" s="197">
        <f t="shared" si="22"/>
        <v>22.149516666666667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23">+B19/B$91</f>
        <v>4.009120277643851E-2</v>
      </c>
      <c r="C20" s="58">
        <f t="shared" si="23"/>
        <v>4.0560087753206436E-2</v>
      </c>
      <c r="D20" s="58">
        <f t="shared" si="23"/>
        <v>3.8834586049749042E-2</v>
      </c>
      <c r="E20" s="58">
        <f t="shared" si="23"/>
        <v>3.544306171084563E-2</v>
      </c>
      <c r="F20" s="58">
        <f t="shared" si="23"/>
        <v>3.8067870542070552E-2</v>
      </c>
      <c r="G20" s="58">
        <f t="shared" si="23"/>
        <v>3.7916924493321402E-2</v>
      </c>
      <c r="H20" s="58">
        <f t="shared" ref="H20" si="24">+H19/H$91</f>
        <v>3.4787166609191914E-2</v>
      </c>
      <c r="I20" s="58">
        <f t="shared" ref="I20:J20" si="25">+I19/I$91</f>
        <v>3.5291763978081175E-2</v>
      </c>
      <c r="J20" s="189">
        <f t="shared" si="25"/>
        <v>2.9260223496690881E-2</v>
      </c>
      <c r="K20" s="189"/>
      <c r="L20" s="59"/>
      <c r="M20" s="3"/>
      <c r="N20" s="44" t="s">
        <v>15</v>
      </c>
      <c r="O20" s="48">
        <f t="shared" ref="O20:T20" si="26">+O19/O$91</f>
        <v>3.7081461381967426E-2</v>
      </c>
      <c r="P20" s="48">
        <f t="shared" si="26"/>
        <v>4.1006976006681586E-2</v>
      </c>
      <c r="Q20" s="48">
        <f t="shared" si="26"/>
        <v>3.9706112811916314E-2</v>
      </c>
      <c r="R20" s="48">
        <f t="shared" si="26"/>
        <v>3.7464652832592385E-2</v>
      </c>
      <c r="S20" s="48">
        <f t="shared" si="26"/>
        <v>3.5747333592860996E-2</v>
      </c>
      <c r="T20" s="48">
        <f t="shared" si="26"/>
        <v>3.8522224004889638E-2</v>
      </c>
      <c r="U20" s="58">
        <f t="shared" ref="U20:V20" si="27">+U19/U$91</f>
        <v>3.6243044663258749E-2</v>
      </c>
      <c r="V20" s="189">
        <f t="shared" si="27"/>
        <v>3.625894665400111E-2</v>
      </c>
      <c r="W20" s="188">
        <f t="shared" ref="W20:X20" si="28">+W19/W$91</f>
        <v>3.1285471427371002E-2</v>
      </c>
      <c r="X20" s="188">
        <f t="shared" si="28"/>
        <v>2.8741116800112206E-2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29">+D19/C19-1</f>
        <v>-9.9292817679557999E-2</v>
      </c>
      <c r="E21" s="62">
        <f t="shared" si="29"/>
        <v>-3.7702112520548559E-2</v>
      </c>
      <c r="F21" s="62">
        <f t="shared" si="29"/>
        <v>0.14407052456790614</v>
      </c>
      <c r="G21" s="62">
        <f t="shared" si="29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30">+Q19/P19-1</f>
        <v>-7.6220986056376061E-2</v>
      </c>
      <c r="R21" s="50">
        <f t="shared" si="30"/>
        <v>-7.3443864324213348E-2</v>
      </c>
      <c r="S21" s="50">
        <f t="shared" si="30"/>
        <v>2.5648707062588594E-2</v>
      </c>
      <c r="T21" s="50">
        <f t="shared" si="30"/>
        <v>3.6540173966268075E-2</v>
      </c>
      <c r="U21" s="62">
        <f t="shared" si="30"/>
        <v>-0.1029018217268054</v>
      </c>
      <c r="V21" s="190">
        <f t="shared" si="30"/>
        <v>-6.2359933237344789E-2</v>
      </c>
      <c r="W21" s="187">
        <f t="shared" si="30"/>
        <v>-0.1632680087443541</v>
      </c>
      <c r="X21" s="187">
        <f t="shared" si="30"/>
        <v>-7.5452770188997098E-2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51" t="s">
        <v>236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237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2">+P24+1</f>
        <v>2018</v>
      </c>
      <c r="R24" s="64">
        <f t="shared" si="32"/>
        <v>2019</v>
      </c>
      <c r="S24" s="64">
        <f t="shared" si="32"/>
        <v>2020</v>
      </c>
      <c r="T24" s="64">
        <f t="shared" ref="T24" si="33">+S24+1</f>
        <v>2021</v>
      </c>
      <c r="U24" s="39">
        <v>2022</v>
      </c>
      <c r="V24" s="192">
        <v>2023</v>
      </c>
      <c r="W24" s="40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34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35">+SUM(C25)+SUM(B26:B36)</f>
        <v>511.97649999999999</v>
      </c>
      <c r="Q25" s="6">
        <f t="shared" si="35"/>
        <v>490.4418</v>
      </c>
      <c r="R25" s="6">
        <f t="shared" si="35"/>
        <v>469.7792</v>
      </c>
      <c r="S25" s="6">
        <f t="shared" si="35"/>
        <v>505.79139999999995</v>
      </c>
      <c r="T25" s="6">
        <f t="shared" si="35"/>
        <v>563.7115</v>
      </c>
      <c r="U25" s="6">
        <f t="shared" si="35"/>
        <v>496.89320000000004</v>
      </c>
      <c r="V25" s="67">
        <f t="shared" si="35"/>
        <v>519.45550000000003</v>
      </c>
      <c r="W25" s="37">
        <f t="shared" si="35"/>
        <v>477.38369999999998</v>
      </c>
      <c r="X25" s="37">
        <f t="shared" si="35"/>
        <v>485.40290000000005</v>
      </c>
      <c r="Y25" s="78">
        <f t="shared" ref="Y25:Y30" si="36">+X25/W25-1</f>
        <v>1.679822750546367E-2</v>
      </c>
      <c r="Z25" s="7">
        <f t="shared" ref="Z25:Z30" si="37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34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38">+SUM(C25:C26)+SUM(B27:B36)</f>
        <v>504.1816</v>
      </c>
      <c r="Q26" s="6">
        <f t="shared" si="38"/>
        <v>493.9769</v>
      </c>
      <c r="R26" s="6">
        <f t="shared" si="38"/>
        <v>469.13170000000002</v>
      </c>
      <c r="S26" s="6">
        <f t="shared" si="38"/>
        <v>511.50429999999994</v>
      </c>
      <c r="T26" s="6">
        <f t="shared" si="38"/>
        <v>562.47199999999998</v>
      </c>
      <c r="U26" s="6">
        <f t="shared" si="38"/>
        <v>498.46580000000006</v>
      </c>
      <c r="V26" s="67">
        <f t="shared" ref="V26" si="39">+SUM(I25:I26)+SUM(H27:H36)</f>
        <v>514.56500000000005</v>
      </c>
      <c r="W26" s="37">
        <f t="shared" ref="W26" si="40">+SUM(J25:J26)+SUM(I27:I36)</f>
        <v>477.80219999999997</v>
      </c>
      <c r="X26" s="37">
        <f t="shared" ref="X26" si="41">+SUM(K25:K26)+SUM(J27:J36)</f>
        <v>487.08680000000004</v>
      </c>
      <c r="Y26" s="78">
        <f t="shared" si="36"/>
        <v>1.9431890434996157E-2</v>
      </c>
      <c r="Z26" s="7">
        <f t="shared" si="37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34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42">+SUM(C25:C27)+SUM(B28:B36)</f>
        <v>501.75350000000003</v>
      </c>
      <c r="Q27" s="6">
        <f t="shared" si="42"/>
        <v>490.96249999999998</v>
      </c>
      <c r="R27" s="6">
        <f t="shared" si="42"/>
        <v>466.73040000000003</v>
      </c>
      <c r="S27" s="6">
        <f t="shared" si="42"/>
        <v>512.5945999999999</v>
      </c>
      <c r="T27" s="6">
        <f t="shared" si="42"/>
        <v>563.12329999999997</v>
      </c>
      <c r="U27" s="6">
        <f t="shared" si="42"/>
        <v>506.00250000000005</v>
      </c>
      <c r="V27" s="67">
        <f t="shared" si="42"/>
        <v>506.35040000000004</v>
      </c>
      <c r="W27" s="37">
        <f t="shared" ref="W27" si="43">+SUM(J25:J27)+SUM(I28:I36)</f>
        <v>475.81430000000006</v>
      </c>
      <c r="X27" s="37">
        <f t="shared" ref="X27" si="44">+SUM(K25:K27)+SUM(J28:J36)</f>
        <v>489.76649999999995</v>
      </c>
      <c r="Y27" s="78">
        <f t="shared" si="36"/>
        <v>2.9322784119770962E-2</v>
      </c>
      <c r="Z27" s="7">
        <f t="shared" si="37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34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45">+SUM(C25:C28)+SUM(B29:B36)</f>
        <v>494.44959999999998</v>
      </c>
      <c r="Q28" s="6">
        <f t="shared" si="45"/>
        <v>491.61899999999997</v>
      </c>
      <c r="R28" s="6">
        <f t="shared" si="45"/>
        <v>466.01649999999995</v>
      </c>
      <c r="S28" s="6">
        <f t="shared" si="45"/>
        <v>512.93869999999993</v>
      </c>
      <c r="T28" s="6">
        <f t="shared" si="45"/>
        <v>566.10230000000001</v>
      </c>
      <c r="U28" s="6">
        <f t="shared" si="45"/>
        <v>508.89240000000007</v>
      </c>
      <c r="V28" s="67">
        <f t="shared" si="45"/>
        <v>498.94630000000006</v>
      </c>
      <c r="W28" s="37">
        <f t="shared" ref="W28" si="46">+SUM(J25:J28)+SUM(I29:I36)</f>
        <v>474.57120000000003</v>
      </c>
      <c r="X28" s="37">
        <f t="shared" ref="X28" si="47">+SUM(K25:K28)+SUM(J29:J36)</f>
        <v>495.88839999999999</v>
      </c>
      <c r="Y28" s="78">
        <f t="shared" si="36"/>
        <v>4.4918865704450583E-2</v>
      </c>
      <c r="Z28" s="7">
        <f t="shared" si="37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34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48">+SUM(C25:C29)+SUM(B30:B36)</f>
        <v>493.44589999999999</v>
      </c>
      <c r="Q29" s="6">
        <f t="shared" si="48"/>
        <v>489.04259999999999</v>
      </c>
      <c r="R29" s="6">
        <f t="shared" si="48"/>
        <v>473.26440000000002</v>
      </c>
      <c r="S29" s="6">
        <f t="shared" si="48"/>
        <v>515.06629999999996</v>
      </c>
      <c r="T29" s="6">
        <f t="shared" si="48"/>
        <v>554.66430000000003</v>
      </c>
      <c r="U29" s="6">
        <f t="shared" si="48"/>
        <v>513.38840000000005</v>
      </c>
      <c r="V29" s="67">
        <f t="shared" si="48"/>
        <v>496.99290000000002</v>
      </c>
      <c r="W29" s="37">
        <f t="shared" si="48"/>
        <v>475.64160000000004</v>
      </c>
      <c r="X29" s="37">
        <f t="shared" ref="X29" si="49">+SUM(K25:K29)+SUM(J30:J36)</f>
        <v>496.73099999999999</v>
      </c>
      <c r="Y29" s="78">
        <f t="shared" si="36"/>
        <v>4.4338846728292802E-2</v>
      </c>
      <c r="Z29" s="7">
        <f t="shared" si="37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34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50">+SUM(C25:C30)+SUM(B31:B36)</f>
        <v>498.35329999999999</v>
      </c>
      <c r="Q30" s="6">
        <f t="shared" si="50"/>
        <v>485.44639999999998</v>
      </c>
      <c r="R30" s="6">
        <f t="shared" si="50"/>
        <v>470.36839999999995</v>
      </c>
      <c r="S30" s="6">
        <f t="shared" si="50"/>
        <v>532.83370000000002</v>
      </c>
      <c r="T30" s="6">
        <f t="shared" si="50"/>
        <v>545.52230000000009</v>
      </c>
      <c r="U30" s="6">
        <f t="shared" si="50"/>
        <v>509.57629999999995</v>
      </c>
      <c r="V30" s="67">
        <f t="shared" si="50"/>
        <v>490.96979999999996</v>
      </c>
      <c r="W30" s="37">
        <f t="shared" ref="W30" si="51">+SUM(J25:J30)+SUM(I31:I36)</f>
        <v>472.29310000000004</v>
      </c>
      <c r="X30" s="37">
        <f t="shared" ref="X30" si="52">+SUM(K25:K30)+SUM(J31:J36)</f>
        <v>500.33669999999995</v>
      </c>
      <c r="Y30" s="78">
        <f t="shared" si="36"/>
        <v>5.9377534840123536E-2</v>
      </c>
      <c r="Z30" s="7">
        <f t="shared" si="37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/>
      <c r="L31" s="7"/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53">+SUM(C25:C31)+SUM(B32:B36)</f>
        <v>501.65679999999998</v>
      </c>
      <c r="Q31" s="6">
        <f t="shared" si="53"/>
        <v>482.05859999999996</v>
      </c>
      <c r="R31" s="6">
        <f t="shared" si="53"/>
        <v>472.05199999999996</v>
      </c>
      <c r="S31" s="6">
        <f t="shared" si="53"/>
        <v>547.31600000000003</v>
      </c>
      <c r="T31" s="6">
        <f t="shared" si="53"/>
        <v>532.44780000000014</v>
      </c>
      <c r="U31" s="6">
        <f t="shared" si="53"/>
        <v>511.10449999999997</v>
      </c>
      <c r="V31" s="67">
        <f t="shared" si="53"/>
        <v>484.91819999999996</v>
      </c>
      <c r="W31" s="37">
        <f t="shared" ref="W31" si="54">+SUM(J25:J31)+SUM(I32:I36)</f>
        <v>480.99170000000004</v>
      </c>
      <c r="X31" s="37"/>
      <c r="Y31" s="78"/>
      <c r="Z31" s="7"/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/>
      <c r="L32" s="7"/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55">+SUM(C25:C32)+SUM(B33:B36)</f>
        <v>495.9273</v>
      </c>
      <c r="Q32" s="6">
        <f t="shared" si="55"/>
        <v>479.0163</v>
      </c>
      <c r="R32" s="6">
        <f t="shared" si="55"/>
        <v>473.77620000000002</v>
      </c>
      <c r="S32" s="6">
        <f t="shared" si="55"/>
        <v>553.44550000000004</v>
      </c>
      <c r="T32" s="6">
        <f t="shared" si="55"/>
        <v>528.29840000000013</v>
      </c>
      <c r="U32" s="6">
        <f t="shared" si="55"/>
        <v>516.76059999999995</v>
      </c>
      <c r="V32" s="67">
        <f t="shared" si="55"/>
        <v>478.95569999999998</v>
      </c>
      <c r="W32" s="37">
        <f t="shared" ref="W32" si="56">+SUM(J25:J32)+SUM(I33:I36)</f>
        <v>486.87130000000002</v>
      </c>
      <c r="X32" s="37"/>
      <c r="Y32" s="78"/>
      <c r="Z32" s="7"/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/>
      <c r="L33" s="7"/>
      <c r="M33" s="2"/>
      <c r="N33" s="42" t="s">
        <v>6</v>
      </c>
      <c r="O33" s="6">
        <f>+'[2]2.CONSUMO ARGENTINA POR ENVASE'!$C749/10000</f>
        <v>583.21811111111106</v>
      </c>
      <c r="P33" s="6">
        <f t="shared" ref="P33:W33" si="57">+SUM(C25:C33)+SUM(B34:B36)</f>
        <v>489.87059999999997</v>
      </c>
      <c r="Q33" s="6">
        <f t="shared" si="57"/>
        <v>477.08619999999996</v>
      </c>
      <c r="R33" s="6">
        <f t="shared" si="57"/>
        <v>479.21860000000004</v>
      </c>
      <c r="S33" s="6">
        <f t="shared" si="57"/>
        <v>559.33670000000006</v>
      </c>
      <c r="T33" s="6">
        <f t="shared" si="57"/>
        <v>518.5517000000001</v>
      </c>
      <c r="U33" s="6">
        <f t="shared" si="57"/>
        <v>520.45219999999995</v>
      </c>
      <c r="V33" s="67">
        <f t="shared" si="57"/>
        <v>474.78859999999997</v>
      </c>
      <c r="W33" s="37">
        <f t="shared" si="57"/>
        <v>488.15140000000002</v>
      </c>
      <c r="X33" s="37"/>
      <c r="Y33" s="78"/>
      <c r="Z33" s="7"/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58">+SUM(C25:C34)+SUM(B35:B36)</f>
        <v>489.24339999999995</v>
      </c>
      <c r="Q34" s="6">
        <f t="shared" si="58"/>
        <v>473.6112</v>
      </c>
      <c r="R34" s="6">
        <f t="shared" si="58"/>
        <v>485.41849999999999</v>
      </c>
      <c r="S34" s="6">
        <f t="shared" si="58"/>
        <v>560.90949999999998</v>
      </c>
      <c r="T34" s="6">
        <f t="shared" si="58"/>
        <v>505.67310000000009</v>
      </c>
      <c r="U34" s="6">
        <f t="shared" si="58"/>
        <v>530.55409999999995</v>
      </c>
      <c r="V34" s="67">
        <f t="shared" si="58"/>
        <v>475.90300000000002</v>
      </c>
      <c r="W34" s="37">
        <f t="shared" si="58"/>
        <v>482.04539999999997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59">+SUM(C25:C35)+SUM(B36)</f>
        <v>492.23439999999994</v>
      </c>
      <c r="Q35" s="6">
        <f t="shared" si="59"/>
        <v>466.19470000000001</v>
      </c>
      <c r="R35" s="6">
        <f t="shared" si="59"/>
        <v>493.9255</v>
      </c>
      <c r="S35" s="6">
        <f t="shared" si="59"/>
        <v>561.17220000000009</v>
      </c>
      <c r="T35" s="6">
        <f t="shared" si="59"/>
        <v>503.30410000000012</v>
      </c>
      <c r="U35" s="6">
        <f t="shared" si="59"/>
        <v>529.46349999999995</v>
      </c>
      <c r="V35" s="67">
        <f t="shared" si="59"/>
        <v>476.27730000000003</v>
      </c>
      <c r="W35" s="37">
        <f t="shared" ref="W35" si="60">+SUM(J25:J35)+SUM(I36)</f>
        <v>484.06509999999997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61">+SUM(C25:C36)</f>
        <v>489.54019999999997</v>
      </c>
      <c r="Q36" s="6">
        <f t="shared" si="61"/>
        <v>466.15539999999999</v>
      </c>
      <c r="R36" s="6">
        <f t="shared" si="61"/>
        <v>501.85180000000003</v>
      </c>
      <c r="S36" s="6">
        <f t="shared" si="61"/>
        <v>562.68240000000003</v>
      </c>
      <c r="T36" s="6">
        <f t="shared" si="61"/>
        <v>501.89880000000011</v>
      </c>
      <c r="U36" s="6">
        <f t="shared" si="61"/>
        <v>520.11109999999996</v>
      </c>
      <c r="V36" s="67">
        <f t="shared" si="61"/>
        <v>480.64060000000001</v>
      </c>
      <c r="W36" s="37">
        <f t="shared" ref="W36" si="62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3">SUM(G25:G36)</f>
        <v>501.89880000000011</v>
      </c>
      <c r="H37" s="54">
        <f t="shared" si="63"/>
        <v>520.11109999999996</v>
      </c>
      <c r="I37" s="54">
        <f t="shared" ref="I37:J37" si="64">SUM(I25:I36)</f>
        <v>480.64060000000001</v>
      </c>
      <c r="J37" s="186">
        <f t="shared" si="64"/>
        <v>481.59359999999998</v>
      </c>
      <c r="K37" s="186"/>
      <c r="L37" s="165"/>
      <c r="M37" s="3"/>
      <c r="N37" s="43" t="s">
        <v>14</v>
      </c>
      <c r="O37" s="46">
        <f t="shared" ref="O37:V37" si="65">+AVERAGE(O25:O36)</f>
        <v>517.27672222222213</v>
      </c>
      <c r="P37" s="46">
        <f t="shared" si="65"/>
        <v>496.88609166666669</v>
      </c>
      <c r="Q37" s="46">
        <f t="shared" si="65"/>
        <v>482.13429999999994</v>
      </c>
      <c r="R37" s="46">
        <f t="shared" si="65"/>
        <v>476.79443333333342</v>
      </c>
      <c r="S37" s="46">
        <f t="shared" si="65"/>
        <v>536.29927499999997</v>
      </c>
      <c r="T37" s="46">
        <f t="shared" si="65"/>
        <v>537.14746666666667</v>
      </c>
      <c r="U37" s="226">
        <f t="shared" si="65"/>
        <v>513.47204999999997</v>
      </c>
      <c r="V37" s="220">
        <f t="shared" si="65"/>
        <v>491.56360833333332</v>
      </c>
      <c r="W37" s="197">
        <f t="shared" ref="W37:X37" si="66">+AVERAGE(W25:W36)</f>
        <v>479.76871666666665</v>
      </c>
      <c r="X37" s="197">
        <f t="shared" si="66"/>
        <v>492.53538333333336</v>
      </c>
      <c r="Y37" s="79"/>
      <c r="Z37" s="75"/>
    </row>
    <row r="38" spans="1:29" ht="25.5" x14ac:dyDescent="0.25">
      <c r="A38" s="57" t="s">
        <v>15</v>
      </c>
      <c r="B38" s="195">
        <f t="shared" ref="B38:H38" si="67">+B37/B$91</f>
        <v>0.54870045601388218</v>
      </c>
      <c r="C38" s="58">
        <f t="shared" si="67"/>
        <v>0.54850258206414992</v>
      </c>
      <c r="D38" s="58">
        <f t="shared" si="67"/>
        <v>0.5552099024049606</v>
      </c>
      <c r="E38" s="58">
        <f t="shared" si="67"/>
        <v>0.56689808285549792</v>
      </c>
      <c r="F38" s="58">
        <f t="shared" si="67"/>
        <v>0.59671559668441843</v>
      </c>
      <c r="G38" s="58">
        <f t="shared" si="67"/>
        <v>0.59885640703910326</v>
      </c>
      <c r="H38" s="58">
        <f t="shared" si="67"/>
        <v>0.62844966311418737</v>
      </c>
      <c r="I38" s="58">
        <f t="shared" ref="I38:J38" si="68">+I37/I$91</f>
        <v>0.6199732683297815</v>
      </c>
      <c r="J38" s="189">
        <f t="shared" si="68"/>
        <v>0.63148835618405497</v>
      </c>
      <c r="K38" s="189"/>
      <c r="L38" s="59"/>
      <c r="M38" s="3"/>
      <c r="N38" s="44" t="s">
        <v>15</v>
      </c>
      <c r="O38" s="48">
        <f t="shared" ref="O38:V38" si="69">+O37/O$91</f>
        <v>0.54402182230562968</v>
      </c>
      <c r="P38" s="48">
        <f t="shared" si="69"/>
        <v>0.54471149790555007</v>
      </c>
      <c r="Q38" s="48">
        <f t="shared" si="69"/>
        <v>0.55399936545291162</v>
      </c>
      <c r="R38" s="48">
        <f t="shared" si="69"/>
        <v>0.55791112111528307</v>
      </c>
      <c r="S38" s="48">
        <f t="shared" si="69"/>
        <v>0.58380035640934758</v>
      </c>
      <c r="T38" s="48">
        <f t="shared" si="69"/>
        <v>0.60790013226402972</v>
      </c>
      <c r="U38" s="58">
        <f t="shared" si="69"/>
        <v>0.60943706205515757</v>
      </c>
      <c r="V38" s="189">
        <f t="shared" si="69"/>
        <v>0.62250970822741591</v>
      </c>
      <c r="W38" s="188">
        <f t="shared" ref="W38:X38" si="70">+W37/W$91</f>
        <v>0.62652654748254499</v>
      </c>
      <c r="X38" s="188">
        <f t="shared" si="70"/>
        <v>0.63911177808566355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71">+D37/C37-1</f>
        <v>-4.7768906414631496E-2</v>
      </c>
      <c r="E39" s="62">
        <f t="shared" si="71"/>
        <v>7.6576180389629878E-2</v>
      </c>
      <c r="F39" s="62">
        <f t="shared" si="71"/>
        <v>0.12121227820643465</v>
      </c>
      <c r="G39" s="62">
        <f t="shared" si="71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72">+Q37/P37-1</f>
        <v>-2.9688477729746809E-2</v>
      </c>
      <c r="R39" s="50">
        <f t="shared" si="72"/>
        <v>-1.1075475581526772E-2</v>
      </c>
      <c r="S39" s="50">
        <f t="shared" si="72"/>
        <v>0.12480188002754211</v>
      </c>
      <c r="T39" s="50">
        <f t="shared" ref="T39" si="73">+T37/S37-1</f>
        <v>1.5815640747727233E-3</v>
      </c>
      <c r="U39" s="62">
        <f t="shared" ref="U39:X39" si="74">+U37/T37-1</f>
        <v>-4.4076195339032953E-2</v>
      </c>
      <c r="V39" s="190">
        <f t="shared" si="74"/>
        <v>-4.266725261222426E-2</v>
      </c>
      <c r="W39" s="187">
        <f t="shared" si="74"/>
        <v>-2.3994639689983832E-2</v>
      </c>
      <c r="X39" s="187">
        <f t="shared" si="74"/>
        <v>2.6610044013221312E-2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51" t="s">
        <v>238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239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76">+P42+1</f>
        <v>2018</v>
      </c>
      <c r="R42" s="64">
        <f t="shared" si="76"/>
        <v>2019</v>
      </c>
      <c r="S42" s="64">
        <f t="shared" si="76"/>
        <v>2020</v>
      </c>
      <c r="T42" s="64">
        <f t="shared" ref="T42" si="77">+S42+1</f>
        <v>2021</v>
      </c>
      <c r="U42" s="39">
        <v>2022</v>
      </c>
      <c r="V42" s="192">
        <v>2023</v>
      </c>
      <c r="W42" s="40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78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79">+SUM(C43)+SUM(B44:B54)</f>
        <v>380.05257700000004</v>
      </c>
      <c r="Q43" s="6">
        <f t="shared" si="79"/>
        <v>365.6728</v>
      </c>
      <c r="R43" s="6">
        <f t="shared" si="79"/>
        <v>338.7944</v>
      </c>
      <c r="S43" s="6">
        <f t="shared" si="79"/>
        <v>354.13509999999991</v>
      </c>
      <c r="T43" s="6">
        <f t="shared" si="79"/>
        <v>335.41280000000006</v>
      </c>
      <c r="U43" s="6">
        <f t="shared" si="79"/>
        <v>296.64589999999998</v>
      </c>
      <c r="V43" s="67">
        <f t="shared" si="79"/>
        <v>272.66809999999998</v>
      </c>
      <c r="W43" s="37">
        <f t="shared" si="79"/>
        <v>261.81270000000001</v>
      </c>
      <c r="X43" s="37">
        <f t="shared" si="79"/>
        <v>255.86980000000003</v>
      </c>
      <c r="Y43" s="78">
        <f t="shared" ref="Y43:Y48" si="80">+X43/W43-1</f>
        <v>-2.2699051650282742E-2</v>
      </c>
      <c r="Z43" s="7">
        <f t="shared" ref="Z43:Z48" si="81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78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82">+SUM(C43:C44)+SUM(B45:B54)</f>
        <v>378.66173500000002</v>
      </c>
      <c r="Q44" s="6">
        <f t="shared" si="82"/>
        <v>361.61709999999999</v>
      </c>
      <c r="R44" s="6">
        <f t="shared" si="82"/>
        <v>342.3827</v>
      </c>
      <c r="S44" s="6">
        <f t="shared" si="82"/>
        <v>353.48719999999997</v>
      </c>
      <c r="T44" s="6">
        <f t="shared" si="82"/>
        <v>329.83659999999998</v>
      </c>
      <c r="U44" s="6">
        <f t="shared" si="82"/>
        <v>295.15989999999999</v>
      </c>
      <c r="V44" s="67">
        <f t="shared" ref="V44" si="83">+SUM(I43:I44)+SUM(H45:H54)</f>
        <v>269.81299999999999</v>
      </c>
      <c r="W44" s="37">
        <f t="shared" ref="W44" si="84">+SUM(J43:J44)+SUM(I45:I54)</f>
        <v>262.74810000000002</v>
      </c>
      <c r="X44" s="37">
        <f t="shared" ref="X44" si="85">+SUM(K43:K44)+SUM(J45:J54)</f>
        <v>257.6053</v>
      </c>
      <c r="Y44" s="78">
        <f t="shared" si="80"/>
        <v>-1.9573119653386706E-2</v>
      </c>
      <c r="Z44" s="7">
        <f t="shared" si="81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78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86">+SUM(C43:C45)+SUM(B46:B54)</f>
        <v>375.50403499999999</v>
      </c>
      <c r="Q45" s="6">
        <f t="shared" si="86"/>
        <v>363.18980000000005</v>
      </c>
      <c r="R45" s="6">
        <f t="shared" si="86"/>
        <v>342.35559999999998</v>
      </c>
      <c r="S45" s="6">
        <f t="shared" si="86"/>
        <v>350.23730000000006</v>
      </c>
      <c r="T45" s="6">
        <f t="shared" si="86"/>
        <v>321.91239999999999</v>
      </c>
      <c r="U45" s="6">
        <f t="shared" si="86"/>
        <v>302.58070000000004</v>
      </c>
      <c r="V45" s="67">
        <f t="shared" si="86"/>
        <v>263.41490000000005</v>
      </c>
      <c r="W45" s="37">
        <f t="shared" ref="W45" si="87">+SUM(J43:J45)+SUM(I46:I54)</f>
        <v>262.92470000000003</v>
      </c>
      <c r="X45" s="37">
        <f t="shared" ref="X45" si="88">+SUM(K43:K45)+SUM(J46:J54)</f>
        <v>255.858</v>
      </c>
      <c r="Y45" s="78">
        <f t="shared" si="80"/>
        <v>-2.6877277030267654E-2</v>
      </c>
      <c r="Z45" s="7">
        <f t="shared" si="81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78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89">+SUM(C43:C46)+SUM(B47:B54)</f>
        <v>369.95531900000003</v>
      </c>
      <c r="Q46" s="6">
        <f t="shared" si="89"/>
        <v>361.57220000000001</v>
      </c>
      <c r="R46" s="6">
        <f t="shared" si="89"/>
        <v>343.5489</v>
      </c>
      <c r="S46" s="6">
        <f t="shared" si="89"/>
        <v>351.08580000000006</v>
      </c>
      <c r="T46" s="6">
        <f t="shared" si="89"/>
        <v>314.8811</v>
      </c>
      <c r="U46" s="6">
        <f t="shared" si="89"/>
        <v>300.81490000000002</v>
      </c>
      <c r="V46" s="67">
        <f t="shared" si="89"/>
        <v>266.88830000000002</v>
      </c>
      <c r="W46" s="37">
        <f t="shared" ref="W46" si="90">+SUM(J43:J46)+SUM(I47:I54)</f>
        <v>258.18740000000003</v>
      </c>
      <c r="X46" s="37">
        <f t="shared" ref="X46" si="91">+SUM(K43:K46)+SUM(J47:J54)</f>
        <v>254.43049999999999</v>
      </c>
      <c r="Y46" s="78">
        <f t="shared" si="80"/>
        <v>-1.4551058649647675E-2</v>
      </c>
      <c r="Z46" s="7">
        <f t="shared" si="81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78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92">+SUM(C43:C47)+SUM(B48:B54)</f>
        <v>376.27509199999997</v>
      </c>
      <c r="Q47" s="6">
        <f t="shared" si="92"/>
        <v>358.21130000000005</v>
      </c>
      <c r="R47" s="6">
        <f t="shared" si="92"/>
        <v>342.2183</v>
      </c>
      <c r="S47" s="6">
        <f t="shared" si="92"/>
        <v>347.13610000000006</v>
      </c>
      <c r="T47" s="6">
        <f t="shared" si="92"/>
        <v>306.01940000000002</v>
      </c>
      <c r="U47" s="6">
        <f t="shared" si="92"/>
        <v>301.72719999999998</v>
      </c>
      <c r="V47" s="67">
        <f t="shared" si="92"/>
        <v>265.46640000000002</v>
      </c>
      <c r="W47" s="37">
        <f t="shared" si="92"/>
        <v>262.39640000000003</v>
      </c>
      <c r="X47" s="37">
        <f t="shared" ref="X47" si="93">+SUM(K43:K47)+SUM(J48:J54)</f>
        <v>247.29609999999997</v>
      </c>
      <c r="Y47" s="78">
        <f t="shared" si="80"/>
        <v>-5.7547664525885445E-2</v>
      </c>
      <c r="Z47" s="7">
        <f t="shared" si="81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78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94">+SUM(C43:C48)+SUM(B49:B54)</f>
        <v>381.14921300000003</v>
      </c>
      <c r="Q48" s="6">
        <f t="shared" si="94"/>
        <v>355.0498</v>
      </c>
      <c r="R48" s="6">
        <f t="shared" si="94"/>
        <v>340.18439999999998</v>
      </c>
      <c r="S48" s="6">
        <f t="shared" si="94"/>
        <v>346.4375</v>
      </c>
      <c r="T48" s="6">
        <f t="shared" si="94"/>
        <v>306.17959999999999</v>
      </c>
      <c r="U48" s="6">
        <f t="shared" si="94"/>
        <v>295.24200000000002</v>
      </c>
      <c r="V48" s="67">
        <f t="shared" si="94"/>
        <v>264.1225</v>
      </c>
      <c r="W48" s="37">
        <f t="shared" ref="W48" si="95">+SUM(J43:J48)+SUM(I49:I54)</f>
        <v>261.44889999999998</v>
      </c>
      <c r="X48" s="37">
        <f t="shared" ref="X48" si="96">+SUM(K43:K48)+SUM(J49:J54)</f>
        <v>243.68799999999999</v>
      </c>
      <c r="Y48" s="78">
        <f t="shared" si="80"/>
        <v>-6.7932586444234389E-2</v>
      </c>
      <c r="Z48" s="7">
        <f t="shared" si="81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/>
      <c r="L49" s="7"/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97">+SUM(C43:C49)+SUM(B50:B54)</f>
        <v>380.151613</v>
      </c>
      <c r="Q49" s="6">
        <f t="shared" si="97"/>
        <v>352.88419999999996</v>
      </c>
      <c r="R49" s="6">
        <f t="shared" si="97"/>
        <v>342.8655</v>
      </c>
      <c r="S49" s="6">
        <f t="shared" si="97"/>
        <v>349.04300000000001</v>
      </c>
      <c r="T49" s="6">
        <f t="shared" si="97"/>
        <v>299.30529999999999</v>
      </c>
      <c r="U49" s="6">
        <f t="shared" si="97"/>
        <v>294.77940000000001</v>
      </c>
      <c r="V49" s="67">
        <f t="shared" si="97"/>
        <v>262.61739999999998</v>
      </c>
      <c r="W49" s="37">
        <f t="shared" ref="W49" si="98">+SUM(J43:J49)+SUM(I50:I54)</f>
        <v>256.92700000000002</v>
      </c>
      <c r="X49" s="37"/>
      <c r="Y49" s="78"/>
      <c r="Z49" s="7"/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/>
      <c r="L50" s="7"/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99">+SUM(C43:C50)+SUM(B51:B54)</f>
        <v>379.76059500000008</v>
      </c>
      <c r="Q50" s="6">
        <f t="shared" si="99"/>
        <v>351.58960000000002</v>
      </c>
      <c r="R50" s="6">
        <f t="shared" si="99"/>
        <v>346.92369999999994</v>
      </c>
      <c r="S50" s="6">
        <f t="shared" si="99"/>
        <v>343.75700000000001</v>
      </c>
      <c r="T50" s="6">
        <f t="shared" si="99"/>
        <v>297.2534</v>
      </c>
      <c r="U50" s="6">
        <f t="shared" si="99"/>
        <v>293.87369999999999</v>
      </c>
      <c r="V50" s="67">
        <f t="shared" si="99"/>
        <v>261.9588</v>
      </c>
      <c r="W50" s="37">
        <f t="shared" ref="W50" si="100">+SUM(J43:J50)+SUM(I51:I54)</f>
        <v>255.96940000000001</v>
      </c>
      <c r="X50" s="37"/>
      <c r="Y50" s="78"/>
      <c r="Z50" s="7"/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/>
      <c r="L51" s="7"/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01">+SUM(C43:C51)+SUM(B52:B54)</f>
        <v>378.72918300000003</v>
      </c>
      <c r="Q51" s="6">
        <f t="shared" si="101"/>
        <v>343.01550000000003</v>
      </c>
      <c r="R51" s="6">
        <f t="shared" si="101"/>
        <v>348.28969999999998</v>
      </c>
      <c r="S51" s="6">
        <f t="shared" si="101"/>
        <v>344.86130000000003</v>
      </c>
      <c r="T51" s="6">
        <f t="shared" si="101"/>
        <v>293.4101</v>
      </c>
      <c r="U51" s="6">
        <f t="shared" si="101"/>
        <v>294.7998</v>
      </c>
      <c r="V51" s="67">
        <f t="shared" si="101"/>
        <v>260.4744</v>
      </c>
      <c r="W51" s="37">
        <f t="shared" ref="W51" si="102">+SUM(J43:J51)+SUM(I52:I54)</f>
        <v>254.37009999999998</v>
      </c>
      <c r="X51" s="37"/>
      <c r="Y51" s="78"/>
      <c r="Z51" s="7"/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03">+SUM(C43:C52)+SUM(B53:B54)</f>
        <v>374.98060000000004</v>
      </c>
      <c r="Q52" s="6">
        <f t="shared" si="103"/>
        <v>339.03900000000004</v>
      </c>
      <c r="R52" s="6">
        <f t="shared" si="103"/>
        <v>354.04819999999995</v>
      </c>
      <c r="S52" s="6">
        <f t="shared" si="103"/>
        <v>343.58170000000007</v>
      </c>
      <c r="T52" s="6">
        <f t="shared" si="103"/>
        <v>292.24950000000001</v>
      </c>
      <c r="U52" s="6">
        <f t="shared" si="103"/>
        <v>292.03379999999999</v>
      </c>
      <c r="V52" s="67">
        <f t="shared" si="103"/>
        <v>260.786</v>
      </c>
      <c r="W52" s="37">
        <f t="shared" si="103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04">+SUM(C43:C53)+SUM(B54)</f>
        <v>370.19970000000001</v>
      </c>
      <c r="Q53" s="6">
        <f t="shared" si="104"/>
        <v>337.03790000000004</v>
      </c>
      <c r="R53" s="6">
        <f t="shared" si="104"/>
        <v>355.23769999999996</v>
      </c>
      <c r="S53" s="6">
        <f t="shared" si="104"/>
        <v>341.02250000000004</v>
      </c>
      <c r="T53" s="6">
        <f t="shared" si="104"/>
        <v>297.76000000000005</v>
      </c>
      <c r="U53" s="6">
        <f t="shared" si="104"/>
        <v>281.21769999999998</v>
      </c>
      <c r="V53" s="67">
        <f t="shared" si="104"/>
        <v>264.0813</v>
      </c>
      <c r="W53" s="37">
        <f t="shared" ref="W53" si="105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06">+SUM(C43:C54)</f>
        <v>365.40129999999999</v>
      </c>
      <c r="Q54" s="6">
        <f t="shared" si="106"/>
        <v>339.69560000000007</v>
      </c>
      <c r="R54" s="6">
        <f t="shared" si="106"/>
        <v>351.64679999999993</v>
      </c>
      <c r="S54" s="6">
        <f t="shared" si="106"/>
        <v>340.65980000000008</v>
      </c>
      <c r="T54" s="6">
        <f t="shared" si="106"/>
        <v>298.9735</v>
      </c>
      <c r="U54" s="6">
        <f t="shared" si="106"/>
        <v>274.33339999999998</v>
      </c>
      <c r="V54" s="67">
        <f t="shared" si="106"/>
        <v>262.85230000000001</v>
      </c>
      <c r="W54" s="37">
        <f t="shared" ref="W54" si="107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08">SUM(C43:C54)</f>
        <v>365.40129999999999</v>
      </c>
      <c r="D55" s="54">
        <f t="shared" si="108"/>
        <v>339.69560000000007</v>
      </c>
      <c r="E55" s="54">
        <f t="shared" si="108"/>
        <v>351.64679999999993</v>
      </c>
      <c r="F55" s="54">
        <f t="shared" si="108"/>
        <v>340.65980000000008</v>
      </c>
      <c r="G55" s="54">
        <f t="shared" si="108"/>
        <v>298.9735</v>
      </c>
      <c r="H55" s="54">
        <f t="shared" si="108"/>
        <v>274.33339999999998</v>
      </c>
      <c r="I55" s="54">
        <f t="shared" ref="I55:J55" si="109">SUM(I43:I54)</f>
        <v>262.85230000000001</v>
      </c>
      <c r="J55" s="186">
        <f t="shared" si="109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10">+AVERAGE(Q43:Q54)</f>
        <v>352.38123333333334</v>
      </c>
      <c r="R55" s="46">
        <f t="shared" si="110"/>
        <v>345.70799166666666</v>
      </c>
      <c r="S55" s="46">
        <f t="shared" si="110"/>
        <v>347.1203583333334</v>
      </c>
      <c r="T55" s="46">
        <f t="shared" si="110"/>
        <v>307.76614166666667</v>
      </c>
      <c r="U55" s="226">
        <f t="shared" si="110"/>
        <v>293.60070000000007</v>
      </c>
      <c r="V55" s="220">
        <f t="shared" si="110"/>
        <v>264.59528333333333</v>
      </c>
      <c r="W55" s="197">
        <f t="shared" ref="W55:X55" si="111">+AVERAGE(W43:W54)</f>
        <v>258.22455833333333</v>
      </c>
      <c r="X55" s="197">
        <f t="shared" si="111"/>
        <v>252.45794999999998</v>
      </c>
      <c r="Y55" s="79"/>
      <c r="Z55" s="75"/>
    </row>
    <row r="56" spans="1:26" ht="25.5" x14ac:dyDescent="0.25">
      <c r="A56" s="57" t="s">
        <v>15</v>
      </c>
      <c r="B56" s="195">
        <f t="shared" ref="B56:H56" si="112">+B55/B$91</f>
        <v>0.40829982753457278</v>
      </c>
      <c r="C56" s="58">
        <f t="shared" si="112"/>
        <v>0.40941184511424616</v>
      </c>
      <c r="D56" s="58">
        <f t="shared" si="112"/>
        <v>0.40459117479577533</v>
      </c>
      <c r="E56" s="58">
        <f t="shared" si="112"/>
        <v>0.39722463237607325</v>
      </c>
      <c r="F56" s="58">
        <f t="shared" si="112"/>
        <v>0.36126421552085985</v>
      </c>
      <c r="G56" s="58">
        <f t="shared" si="112"/>
        <v>0.35672967540449452</v>
      </c>
      <c r="H56" s="58">
        <f t="shared" si="112"/>
        <v>0.3314767418172187</v>
      </c>
      <c r="I56" s="58">
        <f t="shared" ref="I56:J56" si="113">+I55/I$91</f>
        <v>0.33905042461872809</v>
      </c>
      <c r="J56" s="189">
        <f t="shared" si="113"/>
        <v>0.33455021943731811</v>
      </c>
      <c r="K56" s="189"/>
      <c r="L56" s="59"/>
      <c r="M56" s="3"/>
      <c r="N56" s="44" t="s">
        <v>15</v>
      </c>
      <c r="O56" s="48">
        <f t="shared" ref="O56:V56" si="114">+O55/O$91</f>
        <v>0.41459561838441888</v>
      </c>
      <c r="P56" s="48">
        <f t="shared" si="114"/>
        <v>0.41208238068426084</v>
      </c>
      <c r="Q56" s="48">
        <f t="shared" si="114"/>
        <v>0.40490581081698834</v>
      </c>
      <c r="R56" s="48">
        <f t="shared" si="114"/>
        <v>0.40452303912370113</v>
      </c>
      <c r="S56" s="48">
        <f t="shared" si="114"/>
        <v>0.37786549107667633</v>
      </c>
      <c r="T56" s="48">
        <f t="shared" si="114"/>
        <v>0.34830486939940908</v>
      </c>
      <c r="U56" s="58">
        <f t="shared" si="114"/>
        <v>0.34847300456828717</v>
      </c>
      <c r="V56" s="189">
        <f t="shared" si="114"/>
        <v>0.33507999744865252</v>
      </c>
      <c r="W56" s="188">
        <f t="shared" ref="W56:X56" si="115">+W55/W$91</f>
        <v>0.33721361019916796</v>
      </c>
      <c r="X56" s="188">
        <f t="shared" si="115"/>
        <v>0.32758834141904769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16">+D55/C55-1</f>
        <v>-7.0349229737277641E-2</v>
      </c>
      <c r="E57" s="62">
        <f t="shared" si="116"/>
        <v>3.518208655042887E-2</v>
      </c>
      <c r="F57" s="62">
        <f t="shared" si="116"/>
        <v>-3.1244419115998956E-2</v>
      </c>
      <c r="G57" s="62">
        <f t="shared" si="116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17">+Q55/P55-1</f>
        <v>-6.2570907685694954E-2</v>
      </c>
      <c r="R57" s="50">
        <f t="shared" si="117"/>
        <v>-1.8937562603835278E-2</v>
      </c>
      <c r="S57" s="50">
        <f t="shared" si="117"/>
        <v>4.0854325057910756E-3</v>
      </c>
      <c r="T57" s="50">
        <f t="shared" ref="T57" si="118">+T55/S55-1</f>
        <v>-0.11337340412882257</v>
      </c>
      <c r="U57" s="62">
        <f t="shared" ref="U57:X57" si="119">+U55/T55-1</f>
        <v>-4.602664084475161E-2</v>
      </c>
      <c r="V57" s="190">
        <f t="shared" si="119"/>
        <v>-9.8792055559359104E-2</v>
      </c>
      <c r="W57" s="187">
        <f t="shared" si="119"/>
        <v>-2.4077243251438674E-2</v>
      </c>
      <c r="X57" s="187">
        <f t="shared" si="119"/>
        <v>-2.2331757949565101E-2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274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240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0">+C60+1</f>
        <v>2018</v>
      </c>
      <c r="E60" s="39">
        <f t="shared" si="120"/>
        <v>2019</v>
      </c>
      <c r="F60" s="39">
        <f t="shared" si="120"/>
        <v>2020</v>
      </c>
      <c r="G60" s="39">
        <f t="shared" si="120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21">+P60+1</f>
        <v>2018</v>
      </c>
      <c r="R60" s="64">
        <f t="shared" si="121"/>
        <v>2019</v>
      </c>
      <c r="S60" s="64">
        <f t="shared" si="121"/>
        <v>2020</v>
      </c>
      <c r="T60" s="64">
        <f t="shared" ref="T60" si="122">+S60+1</f>
        <v>2021</v>
      </c>
      <c r="U60" s="39">
        <v>2022</v>
      </c>
      <c r="V60" s="192">
        <v>2023</v>
      </c>
      <c r="W60" s="40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23">+C79-C43-C25-C7</f>
        <v>9.4199999999997175E-2</v>
      </c>
      <c r="D61" s="158">
        <f t="shared" si="123"/>
        <v>5.4599999999994875E-2</v>
      </c>
      <c r="E61" s="158">
        <f>+(D61+F61)/2</f>
        <v>0.19689999999999963</v>
      </c>
      <c r="F61" s="158">
        <f t="shared" si="123"/>
        <v>0.33920000000000439</v>
      </c>
      <c r="G61" s="158">
        <f t="shared" si="123"/>
        <v>0.29889999999999617</v>
      </c>
      <c r="H61" s="158">
        <f t="shared" si="123"/>
        <v>9.1800000000000104E-2</v>
      </c>
      <c r="I61" s="158">
        <f t="shared" si="123"/>
        <v>0.27959999999999896</v>
      </c>
      <c r="J61" s="214">
        <f t="shared" si="123"/>
        <v>0.12589999999999812</v>
      </c>
      <c r="K61" s="210">
        <f t="shared" ref="K61:K66" si="124">+K79-K43-K25-K7</f>
        <v>0.41199999999999259</v>
      </c>
      <c r="L61" s="7">
        <f t="shared" ref="L61:L66" si="125">+K61/J61-1</f>
        <v>2.2724384432088858</v>
      </c>
      <c r="M61" s="2"/>
      <c r="N61" s="42" t="s">
        <v>10</v>
      </c>
      <c r="O61" s="6">
        <f t="shared" ref="O61:O72" si="126">+O79-O43-O25-O7</f>
        <v>1.7354333333333969</v>
      </c>
      <c r="P61" s="6">
        <f t="shared" ref="P61:X61" si="127">+SUM(C61)+SUM(B62:B72)</f>
        <v>2.6800229999999794</v>
      </c>
      <c r="Q61" s="6">
        <f t="shared" si="127"/>
        <v>1.3218999999999754</v>
      </c>
      <c r="R61" s="6">
        <f t="shared" si="127"/>
        <v>1.2877999999999841</v>
      </c>
      <c r="S61" s="6">
        <f t="shared" si="127"/>
        <v>2.5820000000000203</v>
      </c>
      <c r="T61" s="6">
        <f t="shared" si="127"/>
        <v>3.6866000000000021</v>
      </c>
      <c r="U61" s="6">
        <f t="shared" si="127"/>
        <v>5.2379999999999987</v>
      </c>
      <c r="V61" s="67">
        <f t="shared" si="127"/>
        <v>4.5628999999999937</v>
      </c>
      <c r="W61" s="37">
        <f t="shared" si="127"/>
        <v>4.2532999999999905</v>
      </c>
      <c r="X61" s="37">
        <f t="shared" si="127"/>
        <v>3.871389000000014</v>
      </c>
      <c r="Y61" s="78">
        <f t="shared" ref="Y61:Y66" si="128">+X61/W61-1</f>
        <v>-8.9791691157448894E-2</v>
      </c>
      <c r="Z61" s="7">
        <f t="shared" ref="Z61:Z66" si="129">+POWER(X61/S61,0.2)-1</f>
        <v>8.4381537540045404E-2</v>
      </c>
    </row>
    <row r="62" spans="1:26" x14ac:dyDescent="0.25">
      <c r="A62" s="42" t="s">
        <v>11</v>
      </c>
      <c r="B62" s="213">
        <f t="shared" ref="B62:H62" si="130">+B80-B44-B26-B8</f>
        <v>0.41565799999998898</v>
      </c>
      <c r="C62" s="158">
        <f t="shared" si="130"/>
        <v>0.11499999999999844</v>
      </c>
      <c r="D62" s="158">
        <f t="shared" si="130"/>
        <v>0.19729999999999848</v>
      </c>
      <c r="E62" s="158">
        <f t="shared" si="130"/>
        <v>5.4700000000002191E-2</v>
      </c>
      <c r="F62" s="158">
        <f t="shared" si="130"/>
        <v>0.14949999999999486</v>
      </c>
      <c r="G62" s="158">
        <f t="shared" si="130"/>
        <v>0.54610000000000225</v>
      </c>
      <c r="H62" s="158">
        <f t="shared" si="130"/>
        <v>0.20849999999999769</v>
      </c>
      <c r="I62" s="158">
        <f t="shared" si="123"/>
        <v>0.38580000000000236</v>
      </c>
      <c r="J62" s="214">
        <f t="shared" si="123"/>
        <v>0.30519999999999947</v>
      </c>
      <c r="K62" s="210">
        <f t="shared" si="124"/>
        <v>3.7300000000002109E-2</v>
      </c>
      <c r="L62" s="7">
        <f t="shared" si="125"/>
        <v>-0.87778505897771242</v>
      </c>
      <c r="M62" s="2"/>
      <c r="N62" s="42" t="s">
        <v>11</v>
      </c>
      <c r="O62" s="6">
        <f t="shared" si="126"/>
        <v>2.3197555555554672</v>
      </c>
      <c r="P62" s="6">
        <f t="shared" ref="P62:U62" si="131">+SUM(C61:C62)+SUM(B63:B72)</f>
        <v>2.3793649999999889</v>
      </c>
      <c r="Q62" s="6">
        <f t="shared" si="131"/>
        <v>1.4041999999999755</v>
      </c>
      <c r="R62" s="6">
        <f t="shared" si="131"/>
        <v>1.1451999999999878</v>
      </c>
      <c r="S62" s="6">
        <f t="shared" si="131"/>
        <v>2.6768000000000129</v>
      </c>
      <c r="T62" s="6">
        <f t="shared" si="131"/>
        <v>4.0832000000000095</v>
      </c>
      <c r="U62" s="6">
        <f t="shared" si="131"/>
        <v>4.9003999999999941</v>
      </c>
      <c r="V62" s="67">
        <f t="shared" ref="V62" si="132">+SUM(I61:I62)+SUM(H63:H72)</f>
        <v>4.740199999999998</v>
      </c>
      <c r="W62" s="37">
        <f t="shared" ref="W62" si="133">+SUM(J61:J62)+SUM(I63:I72)</f>
        <v>4.1726999999999883</v>
      </c>
      <c r="X62" s="37">
        <f t="shared" ref="X62" si="134">+SUM(K61:K62)+SUM(J63:J72)</f>
        <v>3.6034890000000166</v>
      </c>
      <c r="Y62" s="78">
        <f t="shared" si="128"/>
        <v>-0.13641311381119503</v>
      </c>
      <c r="Z62" s="7">
        <f t="shared" si="129"/>
        <v>6.1259168883540438E-2</v>
      </c>
    </row>
    <row r="63" spans="1:26" x14ac:dyDescent="0.25">
      <c r="A63" s="42" t="s">
        <v>0</v>
      </c>
      <c r="B63" s="213">
        <f t="shared" ref="B63:H72" si="135">+B81-B45-B27-B9</f>
        <v>0.141199999999992</v>
      </c>
      <c r="C63" s="158">
        <f t="shared" si="135"/>
        <v>0.23799999999999422</v>
      </c>
      <c r="D63" s="158">
        <f t="shared" si="135"/>
        <v>5.349999999999655E-2</v>
      </c>
      <c r="E63" s="158">
        <f t="shared" si="135"/>
        <v>1.031999999999996</v>
      </c>
      <c r="F63" s="158">
        <f t="shared" si="135"/>
        <v>0.27889999999999748</v>
      </c>
      <c r="G63" s="158">
        <f t="shared" si="135"/>
        <v>0.22610000000000152</v>
      </c>
      <c r="H63" s="158">
        <f t="shared" si="135"/>
        <v>0.29480000000000262</v>
      </c>
      <c r="I63" s="158">
        <f t="shared" si="123"/>
        <v>0.59400000000000075</v>
      </c>
      <c r="J63" s="214">
        <f t="shared" si="123"/>
        <v>0.34600000000000475</v>
      </c>
      <c r="K63" s="210">
        <f t="shared" si="124"/>
        <v>0.16779999999999906</v>
      </c>
      <c r="L63" s="7">
        <f t="shared" si="125"/>
        <v>-0.51502890173411342</v>
      </c>
      <c r="M63" s="2"/>
      <c r="N63" s="42" t="s">
        <v>0</v>
      </c>
      <c r="O63" s="6">
        <f t="shared" si="126"/>
        <v>1.370255555555616</v>
      </c>
      <c r="P63" s="6">
        <f t="shared" ref="P63:U63" si="136">+SUM(C61:C63)+SUM(B64:B72)</f>
        <v>2.4761649999999911</v>
      </c>
      <c r="Q63" s="6">
        <f t="shared" si="136"/>
        <v>1.2196999999999778</v>
      </c>
      <c r="R63" s="6">
        <f t="shared" si="136"/>
        <v>2.123699999999987</v>
      </c>
      <c r="S63" s="6">
        <f t="shared" si="136"/>
        <v>1.9237000000000144</v>
      </c>
      <c r="T63" s="6">
        <f t="shared" si="136"/>
        <v>4.0304000000000135</v>
      </c>
      <c r="U63" s="6">
        <f t="shared" si="136"/>
        <v>4.9690999999999956</v>
      </c>
      <c r="V63" s="67">
        <f t="shared" ref="V63" si="137">+SUM(I61:I63)+SUM(H64:H72)</f>
        <v>5.039399999999997</v>
      </c>
      <c r="W63" s="37">
        <f t="shared" ref="W63" si="138">+SUM(J61:J63)+SUM(I64:I72)</f>
        <v>3.9246999999999925</v>
      </c>
      <c r="X63" s="37">
        <f t="shared" ref="X63" si="139">+SUM(K61:K63)+SUM(J64:J72)</f>
        <v>3.4252890000000109</v>
      </c>
      <c r="Y63" s="78">
        <f t="shared" si="128"/>
        <v>-0.12724819731443993</v>
      </c>
      <c r="Z63" s="7">
        <f t="shared" si="129"/>
        <v>0.12230778375797025</v>
      </c>
    </row>
    <row r="64" spans="1:26" x14ac:dyDescent="0.25">
      <c r="A64" s="42" t="s">
        <v>1</v>
      </c>
      <c r="B64" s="213">
        <f t="shared" ref="B64:G64" si="140">+B82-B46-B28-B10</f>
        <v>0.24008400000000707</v>
      </c>
      <c r="C64" s="158">
        <f t="shared" si="140"/>
        <v>9.7300000000006825E-2</v>
      </c>
      <c r="D64" s="158">
        <f t="shared" si="140"/>
        <v>5.4599999999995319E-2</v>
      </c>
      <c r="E64" s="158">
        <f t="shared" si="140"/>
        <v>5.4400000000005555E-2</v>
      </c>
      <c r="F64" s="158">
        <f t="shared" si="140"/>
        <v>0.17419999999999503</v>
      </c>
      <c r="G64" s="158">
        <f t="shared" si="140"/>
        <v>0.26689999999999348</v>
      </c>
      <c r="H64" s="158">
        <f t="shared" si="135"/>
        <v>0.40310000000000445</v>
      </c>
      <c r="I64" s="158">
        <f t="shared" si="123"/>
        <v>0.49249999999999683</v>
      </c>
      <c r="J64" s="214">
        <f t="shared" si="123"/>
        <v>0.15839999999999943</v>
      </c>
      <c r="K64" s="210">
        <f t="shared" si="124"/>
        <v>0.22150000000000536</v>
      </c>
      <c r="L64" s="7">
        <f t="shared" si="125"/>
        <v>0.39835858585862471</v>
      </c>
      <c r="M64" s="2"/>
      <c r="N64" s="42" t="s">
        <v>1</v>
      </c>
      <c r="O64" s="6">
        <f t="shared" si="126"/>
        <v>1.539833333333398</v>
      </c>
      <c r="P64" s="6">
        <f t="shared" ref="P64:U64" si="141">+SUM(C61:C64)+SUM(B65:B72)</f>
        <v>2.3333809999999908</v>
      </c>
      <c r="Q64" s="6">
        <f t="shared" si="141"/>
        <v>1.1769999999999663</v>
      </c>
      <c r="R64" s="6">
        <f t="shared" si="141"/>
        <v>2.1234999999999973</v>
      </c>
      <c r="S64" s="6">
        <f t="shared" si="141"/>
        <v>2.0435000000000039</v>
      </c>
      <c r="T64" s="6">
        <f t="shared" si="141"/>
        <v>4.1231000000000115</v>
      </c>
      <c r="U64" s="6">
        <f t="shared" si="141"/>
        <v>5.1053000000000068</v>
      </c>
      <c r="V64" s="67">
        <f t="shared" ref="V64" si="142">+SUM(I61:I64)+SUM(H65:H72)</f>
        <v>5.1287999999999894</v>
      </c>
      <c r="W64" s="37">
        <f t="shared" ref="W64" si="143">+SUM(J61:J64)+SUM(I65:I72)</f>
        <v>3.5905999999999949</v>
      </c>
      <c r="X64" s="37">
        <f t="shared" ref="X64" si="144">+SUM(K61:K64)+SUM(J65:J72)</f>
        <v>3.4883890000000171</v>
      </c>
      <c r="Y64" s="78">
        <f t="shared" si="128"/>
        <v>-2.8466273046281354E-2</v>
      </c>
      <c r="Z64" s="7">
        <f t="shared" si="129"/>
        <v>0.11288439637202119</v>
      </c>
    </row>
    <row r="65" spans="1:28" x14ac:dyDescent="0.25">
      <c r="A65" s="42" t="s">
        <v>2</v>
      </c>
      <c r="B65" s="213">
        <f t="shared" ref="B65:G65" si="145">+B83-B47-B29-B11</f>
        <v>0.14957300000000151</v>
      </c>
      <c r="C65" s="158">
        <f t="shared" si="145"/>
        <v>0.22029999999999594</v>
      </c>
      <c r="D65" s="158">
        <f t="shared" si="145"/>
        <v>0.10339999999999705</v>
      </c>
      <c r="E65" s="158">
        <f t="shared" si="145"/>
        <v>0.38240000000000407</v>
      </c>
      <c r="F65" s="158">
        <f t="shared" si="145"/>
        <v>0.12500000000000755</v>
      </c>
      <c r="G65" s="158">
        <f t="shared" si="145"/>
        <v>0.19739999999999513</v>
      </c>
      <c r="H65" s="158">
        <f t="shared" si="135"/>
        <v>0.11239999999999517</v>
      </c>
      <c r="I65" s="158">
        <f t="shared" si="123"/>
        <v>0.40629999999999411</v>
      </c>
      <c r="J65" s="214">
        <f t="shared" si="123"/>
        <v>0.32179999999999831</v>
      </c>
      <c r="K65" s="210">
        <f t="shared" si="124"/>
        <v>0.24410000000000021</v>
      </c>
      <c r="L65" s="7">
        <f t="shared" si="125"/>
        <v>-0.24145431945307183</v>
      </c>
      <c r="M65" s="2"/>
      <c r="N65" s="42" t="s">
        <v>2</v>
      </c>
      <c r="O65" s="6">
        <f t="shared" si="126"/>
        <v>1.7331555555557259</v>
      </c>
      <c r="P65" s="6">
        <f t="shared" ref="P65:U65" si="146">+SUM(C61:C65)+SUM(B66:B72)</f>
        <v>2.4041079999999853</v>
      </c>
      <c r="Q65" s="6">
        <f t="shared" si="146"/>
        <v>1.0600999999999674</v>
      </c>
      <c r="R65" s="6">
        <f t="shared" si="146"/>
        <v>2.4025000000000043</v>
      </c>
      <c r="S65" s="6">
        <f t="shared" si="146"/>
        <v>1.7861000000000073</v>
      </c>
      <c r="T65" s="6">
        <f t="shared" si="146"/>
        <v>4.1954999999999991</v>
      </c>
      <c r="U65" s="6">
        <f t="shared" si="146"/>
        <v>5.0203000000000069</v>
      </c>
      <c r="V65" s="67">
        <f t="shared" ref="V65" si="147">+SUM(I61:I65)+SUM(H66:H72)</f>
        <v>5.4226999999999883</v>
      </c>
      <c r="W65" s="37">
        <f t="shared" ref="W65" si="148">+SUM(J61:J65)+SUM(I66:I72)</f>
        <v>3.5060999999999991</v>
      </c>
      <c r="X65" s="37">
        <f t="shared" ref="X65" si="149">+SUM(K61:K65)+SUM(J66:J72)</f>
        <v>3.4106890000000192</v>
      </c>
      <c r="Y65" s="78">
        <f t="shared" si="128"/>
        <v>-2.7212857591049855E-2</v>
      </c>
      <c r="Z65" s="7">
        <f t="shared" si="129"/>
        <v>0.13811794233677754</v>
      </c>
    </row>
    <row r="66" spans="1:28" x14ac:dyDescent="0.25">
      <c r="A66" s="42" t="s">
        <v>3</v>
      </c>
      <c r="B66" s="213">
        <f t="shared" ref="B66:G66" si="150">+B84-B48-B30-B12</f>
        <v>0.37772100000001085</v>
      </c>
      <c r="C66" s="158">
        <f t="shared" si="150"/>
        <v>4.1999999999998039E-2</v>
      </c>
      <c r="D66" s="158">
        <f t="shared" si="150"/>
        <v>8.2599999999996232E-2</v>
      </c>
      <c r="E66" s="158">
        <f t="shared" si="150"/>
        <v>0.16049999999999542</v>
      </c>
      <c r="F66" s="158">
        <f t="shared" si="150"/>
        <v>0.18379999999999619</v>
      </c>
      <c r="G66" s="158">
        <f t="shared" si="150"/>
        <v>0.41890000000000116</v>
      </c>
      <c r="H66" s="158">
        <f t="shared" si="135"/>
        <v>0.35749999999999638</v>
      </c>
      <c r="I66" s="158">
        <f t="shared" si="123"/>
        <v>9.9300000000006605E-2</v>
      </c>
      <c r="J66" s="214">
        <f t="shared" si="123"/>
        <v>0.21540000000000403</v>
      </c>
      <c r="K66" s="210">
        <f t="shared" si="124"/>
        <v>8.4900000000007747E-2</v>
      </c>
      <c r="L66" s="7">
        <f t="shared" si="125"/>
        <v>-0.60584958217267337</v>
      </c>
      <c r="M66" s="2"/>
      <c r="N66" s="42" t="s">
        <v>3</v>
      </c>
      <c r="O66" s="6">
        <f t="shared" si="126"/>
        <v>1.5656111111110107</v>
      </c>
      <c r="P66" s="6">
        <f t="shared" ref="P66:U66" si="151">+SUM(C61:C66)+SUM(B67:B72)</f>
        <v>2.0683869999999724</v>
      </c>
      <c r="Q66" s="6">
        <f t="shared" si="151"/>
        <v>1.1006999999999656</v>
      </c>
      <c r="R66" s="6">
        <f t="shared" si="151"/>
        <v>2.4804000000000039</v>
      </c>
      <c r="S66" s="6">
        <f t="shared" si="151"/>
        <v>1.8094000000000081</v>
      </c>
      <c r="T66" s="6">
        <f t="shared" si="151"/>
        <v>4.4306000000000045</v>
      </c>
      <c r="U66" s="6">
        <f t="shared" si="151"/>
        <v>4.9589000000000016</v>
      </c>
      <c r="V66" s="67">
        <f t="shared" ref="V66" si="152">+SUM(I61:I66)+SUM(H67:H72)</f>
        <v>5.1644999999999985</v>
      </c>
      <c r="W66" s="37">
        <f t="shared" ref="W66" si="153">+SUM(J61:J66)+SUM(I67:I72)</f>
        <v>3.6221999999999963</v>
      </c>
      <c r="X66" s="37">
        <f t="shared" ref="X66" si="154">+SUM(K61:K66)+SUM(J67:J72)</f>
        <v>3.2801890000000231</v>
      </c>
      <c r="Y66" s="78">
        <f t="shared" si="128"/>
        <v>-9.4420793992593843E-2</v>
      </c>
      <c r="Z66" s="7">
        <f t="shared" si="129"/>
        <v>0.12634868508138686</v>
      </c>
    </row>
    <row r="67" spans="1:28" x14ac:dyDescent="0.25">
      <c r="A67" s="42" t="s">
        <v>4</v>
      </c>
      <c r="B67" s="213">
        <f t="shared" ref="B67:G72" si="155">+B85-B49-B31-B13</f>
        <v>0.21470000000000455</v>
      </c>
      <c r="C67" s="158">
        <f t="shared" si="155"/>
        <v>7.7499999999998792E-2</v>
      </c>
      <c r="D67" s="158">
        <f t="shared" si="155"/>
        <v>0.19299999999999695</v>
      </c>
      <c r="E67" s="158">
        <f t="shared" si="155"/>
        <v>6.0199999999999143E-2</v>
      </c>
      <c r="F67" s="158">
        <f t="shared" si="155"/>
        <v>0.19920000000000027</v>
      </c>
      <c r="G67" s="158">
        <f t="shared" si="155"/>
        <v>0.48789999999999889</v>
      </c>
      <c r="H67" s="158">
        <f t="shared" si="135"/>
        <v>0.35100000000000042</v>
      </c>
      <c r="I67" s="158">
        <f t="shared" si="123"/>
        <v>0.2503999999999964</v>
      </c>
      <c r="J67" s="214">
        <f t="shared" ref="J67" si="156">+J85-J49-J31-J13</f>
        <v>0.74399999999999666</v>
      </c>
      <c r="K67" s="210"/>
      <c r="L67" s="7"/>
      <c r="M67" s="2"/>
      <c r="N67" s="42" t="s">
        <v>4</v>
      </c>
      <c r="O67" s="6">
        <f t="shared" si="126"/>
        <v>3.6143888888887545</v>
      </c>
      <c r="P67" s="6">
        <f t="shared" ref="P67:U67" si="157">+SUM(C61:C67)+SUM(B68:B72)</f>
        <v>1.9311869999999667</v>
      </c>
      <c r="Q67" s="6">
        <f t="shared" si="157"/>
        <v>1.2161999999999638</v>
      </c>
      <c r="R67" s="6">
        <f t="shared" si="157"/>
        <v>2.3476000000000061</v>
      </c>
      <c r="S67" s="6">
        <f t="shared" si="157"/>
        <v>1.9484000000000092</v>
      </c>
      <c r="T67" s="6">
        <f t="shared" si="157"/>
        <v>4.7193000000000032</v>
      </c>
      <c r="U67" s="6">
        <f t="shared" si="157"/>
        <v>4.8220000000000036</v>
      </c>
      <c r="V67" s="67">
        <f t="shared" ref="V67" si="158">+SUM(I61:I67)+SUM(H68:H72)</f>
        <v>5.0638999999999941</v>
      </c>
      <c r="W67" s="37">
        <f t="shared" ref="W67" si="159">+SUM(J61:J67)+SUM(I68:I72)</f>
        <v>4.1157999999999966</v>
      </c>
      <c r="X67" s="37"/>
      <c r="Y67" s="78"/>
      <c r="Z67" s="7"/>
    </row>
    <row r="68" spans="1:28" x14ac:dyDescent="0.25">
      <c r="A68" s="42" t="s">
        <v>5</v>
      </c>
      <c r="B68" s="213">
        <f t="shared" ref="B68:F68" si="160">+B86-B50-B32-B14</f>
        <v>0.22108199999999423</v>
      </c>
      <c r="C68" s="158">
        <f t="shared" si="160"/>
        <v>7.1300000000000807E-2</v>
      </c>
      <c r="D68" s="158">
        <f t="shared" si="160"/>
        <v>7.8299999999999592E-2</v>
      </c>
      <c r="E68" s="158">
        <f t="shared" si="160"/>
        <v>0.11460000000000337</v>
      </c>
      <c r="F68" s="158">
        <f t="shared" si="160"/>
        <v>0.22630000000000727</v>
      </c>
      <c r="G68" s="158">
        <f t="shared" si="155"/>
        <v>0.51270000000000282</v>
      </c>
      <c r="H68" s="158">
        <f t="shared" si="135"/>
        <v>0.76829999999999377</v>
      </c>
      <c r="I68" s="158">
        <f t="shared" si="123"/>
        <v>0.50529999999999564</v>
      </c>
      <c r="J68" s="214">
        <f t="shared" ref="J68" si="161">+J86-J50-J32-J14</f>
        <v>0.36950000000000482</v>
      </c>
      <c r="K68" s="210"/>
      <c r="L68" s="7"/>
      <c r="M68" s="2"/>
      <c r="N68" s="42" t="s">
        <v>5</v>
      </c>
      <c r="O68" s="6">
        <f t="shared" si="126"/>
        <v>3.9171888888888873</v>
      </c>
      <c r="P68" s="6">
        <f t="shared" ref="P68:U68" si="162">+SUM(C61:C68)+SUM(B69:B72)</f>
        <v>1.7814049999999733</v>
      </c>
      <c r="Q68" s="6">
        <f t="shared" si="162"/>
        <v>1.2231999999999625</v>
      </c>
      <c r="R68" s="6">
        <f t="shared" si="162"/>
        <v>2.3839000000000095</v>
      </c>
      <c r="S68" s="6">
        <f t="shared" si="162"/>
        <v>2.0601000000000131</v>
      </c>
      <c r="T68" s="6">
        <f t="shared" si="162"/>
        <v>5.0056999999999992</v>
      </c>
      <c r="U68" s="6">
        <f t="shared" si="162"/>
        <v>5.077599999999995</v>
      </c>
      <c r="V68" s="67">
        <f t="shared" ref="V68" si="163">+SUM(I61:I68)+SUM(H69:H72)</f>
        <v>4.8008999999999959</v>
      </c>
      <c r="W68" s="37">
        <f t="shared" ref="W68" si="164">+SUM(J61:J68)+SUM(I69:I72)</f>
        <v>3.9800000000000058</v>
      </c>
      <c r="X68" s="37"/>
      <c r="Y68" s="78"/>
      <c r="Z68" s="7"/>
    </row>
    <row r="69" spans="1:28" x14ac:dyDescent="0.25">
      <c r="A69" s="42" t="s">
        <v>6</v>
      </c>
      <c r="B69" s="213">
        <f t="shared" ref="B69:F69" si="165">+B87-B51-B33-B15</f>
        <v>0.22258799999998891</v>
      </c>
      <c r="C69" s="158">
        <f t="shared" si="165"/>
        <v>0.13599999999999612</v>
      </c>
      <c r="D69" s="158">
        <f t="shared" si="165"/>
        <v>0.1150000000000011</v>
      </c>
      <c r="E69" s="158">
        <f t="shared" si="165"/>
        <v>7.1000000000001506E-2</v>
      </c>
      <c r="F69" s="158">
        <f t="shared" si="165"/>
        <v>0.29790000000000116</v>
      </c>
      <c r="G69" s="158">
        <f t="shared" si="155"/>
        <v>0.59190000000000564</v>
      </c>
      <c r="H69" s="158">
        <f t="shared" si="135"/>
        <v>0.59260000000000712</v>
      </c>
      <c r="I69" s="158">
        <f t="shared" si="123"/>
        <v>0.51760000000000095</v>
      </c>
      <c r="J69" s="214">
        <f>+J87-J51-J33-J15</f>
        <v>0.17880000000000451</v>
      </c>
      <c r="K69" s="210"/>
      <c r="L69" s="7"/>
      <c r="M69" s="2"/>
      <c r="N69" s="42" t="s">
        <v>6</v>
      </c>
      <c r="O69" s="6">
        <f t="shared" si="126"/>
        <v>5.5557888888887845</v>
      </c>
      <c r="P69" s="6">
        <f t="shared" ref="P69:U69" si="166">+SUM(C61:C69)+SUM(B70:B72)</f>
        <v>1.6948169999999805</v>
      </c>
      <c r="Q69" s="6">
        <f t="shared" si="166"/>
        <v>1.2021999999999675</v>
      </c>
      <c r="R69" s="6">
        <f t="shared" si="166"/>
        <v>2.3399000000000099</v>
      </c>
      <c r="S69" s="6">
        <f t="shared" si="166"/>
        <v>2.2870000000000128</v>
      </c>
      <c r="T69" s="6">
        <f t="shared" si="166"/>
        <v>5.2997000000000032</v>
      </c>
      <c r="U69" s="6">
        <f t="shared" si="166"/>
        <v>5.078299999999996</v>
      </c>
      <c r="V69" s="67">
        <f t="shared" ref="V69" si="167">+SUM(I61:I69)+SUM(H70:H72)</f>
        <v>4.7258999999999896</v>
      </c>
      <c r="W69" s="37">
        <f t="shared" ref="W69" si="168">+SUM(J61:J69)+SUM(I70:I72)</f>
        <v>3.6412000000000093</v>
      </c>
      <c r="X69" s="37"/>
      <c r="Y69" s="78"/>
      <c r="Z69" s="7"/>
    </row>
    <row r="70" spans="1:28" x14ac:dyDescent="0.25">
      <c r="A70" s="42" t="s">
        <v>7</v>
      </c>
      <c r="B70" s="213">
        <f t="shared" ref="B70:F70" si="169">+B88-B52-B34-B16</f>
        <v>0.22661699999999607</v>
      </c>
      <c r="C70" s="158">
        <f t="shared" si="169"/>
        <v>5.5599999999995653E-2</v>
      </c>
      <c r="D70" s="158">
        <f t="shared" si="169"/>
        <v>7.1300000000009689E-2</v>
      </c>
      <c r="E70" s="158">
        <f t="shared" si="169"/>
        <v>6.530000000001257E-2</v>
      </c>
      <c r="F70" s="158">
        <f t="shared" si="169"/>
        <v>0.36769999999999525</v>
      </c>
      <c r="G70" s="158">
        <f t="shared" si="155"/>
        <v>0.52740000000000142</v>
      </c>
      <c r="H70" s="158">
        <f t="shared" si="135"/>
        <v>0.24740000000000384</v>
      </c>
      <c r="I70" s="158">
        <f t="shared" si="123"/>
        <v>0.27609999999999624</v>
      </c>
      <c r="J70" s="214">
        <f>+J88-J52-J34-J16</f>
        <v>0.31188900000000719</v>
      </c>
      <c r="K70" s="210"/>
      <c r="L70" s="7"/>
      <c r="M70" s="2"/>
      <c r="N70" s="42" t="s">
        <v>7</v>
      </c>
      <c r="O70" s="6">
        <f t="shared" si="126"/>
        <v>4.6592333333334537</v>
      </c>
      <c r="P70" s="6">
        <f t="shared" ref="P70:U70" si="170">+SUM(C61:C70)+SUM(B71:B72)</f>
        <v>1.5237999999999801</v>
      </c>
      <c r="Q70" s="6">
        <f t="shared" si="170"/>
        <v>1.2178999999999816</v>
      </c>
      <c r="R70" s="6">
        <f t="shared" si="170"/>
        <v>2.3339000000000127</v>
      </c>
      <c r="S70" s="6">
        <f t="shared" si="170"/>
        <v>2.5893999999999955</v>
      </c>
      <c r="T70" s="6">
        <f t="shared" si="170"/>
        <v>5.4594000000000094</v>
      </c>
      <c r="U70" s="6">
        <f t="shared" si="170"/>
        <v>4.7982999999999985</v>
      </c>
      <c r="V70" s="67">
        <f t="shared" ref="V70" si="171">+SUM(I61:I70)+SUM(H71:H72)</f>
        <v>4.7545999999999822</v>
      </c>
      <c r="W70" s="37">
        <f t="shared" ref="W70" si="172">+SUM(J61:J70)+SUM(I71:I72)</f>
        <v>3.6769890000000203</v>
      </c>
      <c r="X70" s="37"/>
      <c r="Y70" s="78"/>
      <c r="Z70" s="7"/>
    </row>
    <row r="71" spans="1:28" x14ac:dyDescent="0.25">
      <c r="A71" s="42" t="s">
        <v>8</v>
      </c>
      <c r="B71" s="213">
        <f t="shared" ref="B71:F71" si="173">+B89-B53-B35-B17</f>
        <v>0.19119999999999315</v>
      </c>
      <c r="C71" s="158">
        <f t="shared" si="173"/>
        <v>0.10600000000000076</v>
      </c>
      <c r="D71" s="158">
        <f t="shared" si="173"/>
        <v>0.10229999999999206</v>
      </c>
      <c r="E71" s="158">
        <f t="shared" si="173"/>
        <v>6.1599999999994992E-2</v>
      </c>
      <c r="F71" s="158">
        <f t="shared" si="173"/>
        <v>0.55500000000000682</v>
      </c>
      <c r="G71" s="158">
        <f t="shared" si="155"/>
        <v>0.52599999999999447</v>
      </c>
      <c r="H71" s="158">
        <f t="shared" si="135"/>
        <v>0.49890000000000123</v>
      </c>
      <c r="I71" s="158">
        <f t="shared" si="123"/>
        <v>0.22230000000000194</v>
      </c>
      <c r="J71" s="214">
        <f>+J89-J53-J35-J17</f>
        <v>0.18650000000000233</v>
      </c>
      <c r="K71" s="210"/>
      <c r="L71" s="7"/>
      <c r="M71" s="2"/>
      <c r="N71" s="42" t="s">
        <v>8</v>
      </c>
      <c r="O71" s="6">
        <f t="shared" si="126"/>
        <v>9.5711111111111933</v>
      </c>
      <c r="P71" s="6">
        <f t="shared" ref="P71:U71" si="174">+SUM(C61:C71)+SUM(B72)</f>
        <v>1.4385999999999877</v>
      </c>
      <c r="Q71" s="6">
        <f t="shared" si="174"/>
        <v>1.2141999999999729</v>
      </c>
      <c r="R71" s="6">
        <f t="shared" si="174"/>
        <v>2.2932000000000157</v>
      </c>
      <c r="S71" s="6">
        <f t="shared" si="174"/>
        <v>3.0828000000000073</v>
      </c>
      <c r="T71" s="6">
        <f t="shared" si="174"/>
        <v>5.430399999999997</v>
      </c>
      <c r="U71" s="6">
        <f t="shared" si="174"/>
        <v>4.7712000000000057</v>
      </c>
      <c r="V71" s="67">
        <f t="shared" ref="V71" si="175">+SUM(I61:I71)+SUM(H72)</f>
        <v>4.4779999999999829</v>
      </c>
      <c r="W71" s="37">
        <f t="shared" ref="W71" si="176">+SUM(J61:J71)+SUM(I72)</f>
        <v>3.6411890000000207</v>
      </c>
      <c r="X71" s="37"/>
      <c r="Y71" s="78"/>
      <c r="Z71" s="7"/>
    </row>
    <row r="72" spans="1:28" x14ac:dyDescent="0.25">
      <c r="A72" s="42" t="s">
        <v>9</v>
      </c>
      <c r="B72" s="213">
        <f t="shared" ref="B72:F72" si="177">+B90-B54-B36-B18</f>
        <v>0.18540000000000489</v>
      </c>
      <c r="C72" s="158">
        <f t="shared" si="177"/>
        <v>0.10829999999999496</v>
      </c>
      <c r="D72" s="158">
        <f t="shared" si="177"/>
        <v>3.9600000000001412E-2</v>
      </c>
      <c r="E72" s="158">
        <f t="shared" si="177"/>
        <v>0.18610000000000104</v>
      </c>
      <c r="F72" s="158">
        <f t="shared" si="177"/>
        <v>0.83020000000000405</v>
      </c>
      <c r="G72" s="158">
        <f t="shared" si="155"/>
        <v>0.8449000000000022</v>
      </c>
      <c r="H72" s="158">
        <f t="shared" si="135"/>
        <v>0.44879999999999232</v>
      </c>
      <c r="I72" s="158">
        <f t="shared" si="123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26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178">+SUM(H61:H72)</f>
        <v>4.3750999999999953</v>
      </c>
      <c r="V72" s="67">
        <f t="shared" ref="V72" si="179">+SUM(I61:I72)</f>
        <v>4.4069999999999911</v>
      </c>
      <c r="W72" s="37">
        <f t="shared" ref="W72" si="180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181">SUM(C61:C72)</f>
        <v>1.3614999999999777</v>
      </c>
      <c r="D73" s="159">
        <f t="shared" ref="D73" si="182">SUM(D61:D72)</f>
        <v>1.1454999999999793</v>
      </c>
      <c r="E73" s="159">
        <f t="shared" ref="E73" si="183">SUM(E61:E72)</f>
        <v>2.4397000000000153</v>
      </c>
      <c r="F73" s="159">
        <f t="shared" ref="F73:H73" si="184">SUM(F61:F72)</f>
        <v>3.7269000000000103</v>
      </c>
      <c r="G73" s="159">
        <f t="shared" si="184"/>
        <v>5.4450999999999947</v>
      </c>
      <c r="H73" s="159">
        <f t="shared" si="184"/>
        <v>4.3750999999999953</v>
      </c>
      <c r="I73" s="159">
        <f t="shared" ref="I73:J73" si="185">SUM(I61:I72)</f>
        <v>4.4069999999999911</v>
      </c>
      <c r="J73" s="216">
        <f t="shared" si="185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186">+AVERAGE(Q61:Q72)</f>
        <v>1.2085666666666379</v>
      </c>
      <c r="R73" s="46">
        <f t="shared" si="186"/>
        <v>2.1417750000000031</v>
      </c>
      <c r="S73" s="46">
        <f t="shared" ref="S73:V73" si="187">+AVERAGE(S61:S72)</f>
        <v>2.3763416666666761</v>
      </c>
      <c r="T73" s="46">
        <f t="shared" si="187"/>
        <v>4.6590833333333377</v>
      </c>
      <c r="U73" s="226">
        <f t="shared" si="187"/>
        <v>4.9262083333333333</v>
      </c>
      <c r="V73" s="220">
        <f t="shared" si="187"/>
        <v>4.8573999999999922</v>
      </c>
      <c r="W73" s="197">
        <f t="shared" ref="W73:X73" si="188">+AVERAGE(W61:W72)</f>
        <v>3.8091722500000027</v>
      </c>
      <c r="X73" s="197">
        <f t="shared" si="188"/>
        <v>3.5132390000000164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189">+B73/B$91</f>
        <v>2.908513675106555E-3</v>
      </c>
      <c r="C74" s="58">
        <f t="shared" si="189"/>
        <v>1.5254850683975043E-3</v>
      </c>
      <c r="D74" s="58">
        <f t="shared" si="189"/>
        <v>1.3643367495150135E-3</v>
      </c>
      <c r="E74" s="58">
        <f t="shared" si="189"/>
        <v>2.7559156961130095E-3</v>
      </c>
      <c r="F74" s="58">
        <f t="shared" si="189"/>
        <v>3.9523172526511677E-3</v>
      </c>
      <c r="G74" s="58">
        <f t="shared" si="189"/>
        <v>6.4969930630808786E-3</v>
      </c>
      <c r="H74" s="58">
        <f t="shared" si="189"/>
        <v>5.2864284594019975E-3</v>
      </c>
      <c r="I74" s="58">
        <f t="shared" ref="I74:J74" si="190">+I73/I$91</f>
        <v>5.6845430734094081E-3</v>
      </c>
      <c r="J74" s="189">
        <f t="shared" si="190"/>
        <v>4.7012008819361118E-3</v>
      </c>
      <c r="K74" s="189"/>
      <c r="L74" s="59"/>
      <c r="M74" s="3"/>
      <c r="N74" s="44" t="s">
        <v>15</v>
      </c>
      <c r="O74" s="48">
        <f t="shared" ref="O74:V74" si="191">+O73/O$91</f>
        <v>4.3010979279841004E-3</v>
      </c>
      <c r="P74" s="48">
        <f t="shared" si="191"/>
        <v>2.1991454035076774E-3</v>
      </c>
      <c r="Q74" s="48">
        <f t="shared" si="191"/>
        <v>1.3887109181837053E-3</v>
      </c>
      <c r="R74" s="48">
        <f t="shared" ref="R74" si="192">+R73/R$91</f>
        <v>2.5061536123080165E-3</v>
      </c>
      <c r="S74" s="48">
        <f t="shared" si="191"/>
        <v>2.586818921115246E-3</v>
      </c>
      <c r="T74" s="48">
        <f t="shared" si="191"/>
        <v>5.2727743316716849E-3</v>
      </c>
      <c r="U74" s="58">
        <f t="shared" si="191"/>
        <v>5.8468887132966663E-3</v>
      </c>
      <c r="V74" s="189">
        <f t="shared" si="191"/>
        <v>6.1513476699304312E-3</v>
      </c>
      <c r="W74" s="188">
        <f t="shared" ref="W74:X74" si="193">+W73/W$91</f>
        <v>4.9743708909160559E-3</v>
      </c>
      <c r="X74" s="188">
        <f t="shared" si="193"/>
        <v>4.5587636951766389E-3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194">+D73/C73-1</f>
        <v>-0.15864854939405215</v>
      </c>
      <c r="E75" s="62">
        <f t="shared" ref="E75" si="195">+E73/D73-1</f>
        <v>1.1298123090354077</v>
      </c>
      <c r="F75" s="62">
        <f t="shared" ref="F75:G75" si="196">+F73/E73-1</f>
        <v>0.52760585317866426</v>
      </c>
      <c r="G75" s="62">
        <f t="shared" si="196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197">+Q73/P73-1</f>
        <v>-0.39754256453919823</v>
      </c>
      <c r="R75" s="50">
        <f t="shared" si="197"/>
        <v>0.77216123782998092</v>
      </c>
      <c r="S75" s="50">
        <f t="shared" ref="S75" si="198">+S73/R73-1</f>
        <v>0.10951975191916641</v>
      </c>
      <c r="T75" s="50">
        <f t="shared" ref="T75" si="199">+T73/S73-1</f>
        <v>0.96061172460469102</v>
      </c>
      <c r="U75" s="62">
        <f t="shared" ref="U75:X75" si="200">+U73/T73-1</f>
        <v>5.7334239567868206E-2</v>
      </c>
      <c r="V75" s="190">
        <f t="shared" si="200"/>
        <v>-1.3967808236559409E-2</v>
      </c>
      <c r="W75" s="187">
        <f t="shared" si="200"/>
        <v>-0.21580017087330494</v>
      </c>
      <c r="X75" s="187">
        <f t="shared" si="200"/>
        <v>-7.7689647665575179E-2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54" t="s">
        <v>241</v>
      </c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6"/>
      <c r="M77" s="2"/>
      <c r="N77" s="354" t="s">
        <v>242</v>
      </c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6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01">+C78+1</f>
        <v>2018</v>
      </c>
      <c r="E78" s="39">
        <f t="shared" si="201"/>
        <v>2019</v>
      </c>
      <c r="F78" s="39">
        <f t="shared" si="201"/>
        <v>2020</v>
      </c>
      <c r="G78" s="39">
        <f t="shared" si="201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02">+P78+1</f>
        <v>2018</v>
      </c>
      <c r="R78" s="64">
        <f t="shared" si="202"/>
        <v>2019</v>
      </c>
      <c r="S78" s="64">
        <f t="shared" si="202"/>
        <v>2020</v>
      </c>
      <c r="T78" s="64">
        <f t="shared" ref="T78" si="203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04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05">+SUM(C79)+SUM(B80:B90)</f>
        <v>932.87149999999997</v>
      </c>
      <c r="Q79" s="80">
        <f t="shared" si="205"/>
        <v>893.31579999999997</v>
      </c>
      <c r="R79" s="80">
        <f t="shared" si="205"/>
        <v>840.39490000000001</v>
      </c>
      <c r="S79" s="80">
        <f t="shared" si="205"/>
        <v>893.8569</v>
      </c>
      <c r="T79" s="80">
        <f t="shared" si="205"/>
        <v>938.60810000000004</v>
      </c>
      <c r="U79" s="80">
        <f t="shared" si="205"/>
        <v>830.15379999999993</v>
      </c>
      <c r="V79" s="80">
        <f t="shared" si="205"/>
        <v>825.4905</v>
      </c>
      <c r="W79" s="67">
        <f t="shared" si="205"/>
        <v>770.2476999999999</v>
      </c>
      <c r="X79" s="37">
        <f t="shared" si="205"/>
        <v>767.63858899999991</v>
      </c>
      <c r="Y79" s="78">
        <f t="shared" ref="Y79:Y84" si="206">+X79/W79-1</f>
        <v>-3.3873661680521305E-3</v>
      </c>
      <c r="Z79" s="7">
        <f t="shared" ref="Z79:Z84" si="207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04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08">+SUM(C79:C80)+SUM(B81:B90)</f>
        <v>923.47460000000012</v>
      </c>
      <c r="Q80" s="80">
        <f t="shared" si="208"/>
        <v>892.93700000000001</v>
      </c>
      <c r="R80" s="80">
        <f t="shared" si="208"/>
        <v>842.95449999999994</v>
      </c>
      <c r="S80" s="80">
        <f t="shared" si="208"/>
        <v>898.68409999999994</v>
      </c>
      <c r="T80" s="80">
        <f t="shared" si="208"/>
        <v>932.46149999999989</v>
      </c>
      <c r="U80" s="80">
        <f t="shared" si="208"/>
        <v>829.73939999999993</v>
      </c>
      <c r="V80" s="80">
        <f t="shared" ref="V80" si="209">+SUM(I79:I80)+SUM(H81:H90)</f>
        <v>817.79320000000007</v>
      </c>
      <c r="W80" s="67">
        <f t="shared" ref="W80" si="210">+SUM(J79:J80)+SUM(I81:I90)</f>
        <v>771.02509999999984</v>
      </c>
      <c r="X80" s="37">
        <f t="shared" ref="X80" si="211">+SUM(K79:K80)+SUM(J81:J90)</f>
        <v>770.69858899999997</v>
      </c>
      <c r="Y80" s="78">
        <f t="shared" si="206"/>
        <v>-4.234764860442386E-4</v>
      </c>
      <c r="Z80" s="7">
        <f t="shared" si="207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04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12">+SUM(C79:C81)+SUM(B82:B90)</f>
        <v>918.15149999999994</v>
      </c>
      <c r="Q81" s="80">
        <f t="shared" si="212"/>
        <v>891.11159999999995</v>
      </c>
      <c r="R81" s="80">
        <f t="shared" si="212"/>
        <v>841.53099999999995</v>
      </c>
      <c r="S81" s="80">
        <f t="shared" si="212"/>
        <v>895.24649999999997</v>
      </c>
      <c r="T81" s="80">
        <f t="shared" si="212"/>
        <v>925.15620000000001</v>
      </c>
      <c r="U81" s="80">
        <f t="shared" si="212"/>
        <v>845.11109999999996</v>
      </c>
      <c r="V81" s="80">
        <f t="shared" si="212"/>
        <v>803.11280000000011</v>
      </c>
      <c r="W81" s="67">
        <f t="shared" ref="W81" si="213">+SUM(J79:J81)+SUM(I82:I90)</f>
        <v>768.28829999999994</v>
      </c>
      <c r="X81" s="37">
        <f t="shared" ref="X81" si="214">+SUM(K79:K81)+SUM(J82:J90)</f>
        <v>771.74928899999998</v>
      </c>
      <c r="Y81" s="78">
        <f t="shared" si="206"/>
        <v>4.5048050321734312E-3</v>
      </c>
      <c r="Z81" s="7">
        <f t="shared" si="207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04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15">+SUM(C79:C82)+SUM(B83:B90)</f>
        <v>904.81209999999987</v>
      </c>
      <c r="Q82" s="80">
        <f t="shared" si="215"/>
        <v>889.66149999999993</v>
      </c>
      <c r="R82" s="80">
        <f t="shared" si="215"/>
        <v>841.82469999999989</v>
      </c>
      <c r="S82" s="80">
        <f t="shared" si="215"/>
        <v>896.96340000000009</v>
      </c>
      <c r="T82" s="80">
        <f t="shared" si="215"/>
        <v>920.71730000000002</v>
      </c>
      <c r="U82" s="80">
        <f t="shared" si="215"/>
        <v>846.21069999999997</v>
      </c>
      <c r="V82" s="80">
        <f t="shared" si="215"/>
        <v>799.32870000000014</v>
      </c>
      <c r="W82" s="67">
        <f t="shared" ref="W82" si="216">+SUM(J79:J82)+SUM(I83:I90)</f>
        <v>761.73969999999986</v>
      </c>
      <c r="X82" s="37">
        <f t="shared" ref="X82" si="217">+SUM(K79:K82)+SUM(J83:J90)</f>
        <v>776.03868899999998</v>
      </c>
      <c r="Y82" s="78">
        <f t="shared" si="206"/>
        <v>1.8771489788441009E-2</v>
      </c>
      <c r="Z82" s="7">
        <f t="shared" si="207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04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18">+SUM(C79:C83)+SUM(B84:B90)</f>
        <v>909.51599999999985</v>
      </c>
      <c r="Q83" s="80">
        <f t="shared" si="218"/>
        <v>883.15359999999998</v>
      </c>
      <c r="R83" s="80">
        <f t="shared" si="218"/>
        <v>848.56669999999997</v>
      </c>
      <c r="S83" s="80">
        <f t="shared" si="218"/>
        <v>894.92180000000008</v>
      </c>
      <c r="T83" s="80">
        <f t="shared" si="218"/>
        <v>900.47329999999999</v>
      </c>
      <c r="U83" s="80">
        <f t="shared" si="218"/>
        <v>851.22109999999998</v>
      </c>
      <c r="V83" s="80">
        <f t="shared" si="218"/>
        <v>796.83029999999997</v>
      </c>
      <c r="W83" s="67">
        <f t="shared" si="218"/>
        <v>765.81309999999996</v>
      </c>
      <c r="X83" s="37">
        <f t="shared" ref="X83" si="219">+SUM(K79:K83)+SUM(J84:J90)</f>
        <v>769.20948899999996</v>
      </c>
      <c r="Y83" s="78">
        <f t="shared" si="206"/>
        <v>4.4350103177916989E-3</v>
      </c>
      <c r="Z83" s="7">
        <f t="shared" si="207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04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20">+SUM(C79:C84)+SUM(B85:B90)</f>
        <v>919.3119999999999</v>
      </c>
      <c r="Q84" s="80">
        <f t="shared" si="220"/>
        <v>876.09320000000002</v>
      </c>
      <c r="R84" s="80">
        <f t="shared" si="220"/>
        <v>843.61899999999991</v>
      </c>
      <c r="S84" s="80">
        <f t="shared" si="220"/>
        <v>913.60750000000007</v>
      </c>
      <c r="T84" s="80">
        <f t="shared" si="220"/>
        <v>890.14640000000009</v>
      </c>
      <c r="U84" s="80">
        <f t="shared" si="220"/>
        <v>840.57370000000003</v>
      </c>
      <c r="V84" s="80">
        <f t="shared" si="220"/>
        <v>790.28679999999997</v>
      </c>
      <c r="W84" s="67">
        <f t="shared" ref="W84" si="221">+SUM(J79:J84)+SUM(I85:I90)</f>
        <v>760.1934</v>
      </c>
      <c r="X84" s="37">
        <f t="shared" ref="X84" si="222">+SUM(K79:K84)+SUM(J85:J90)</f>
        <v>768.60188900000003</v>
      </c>
      <c r="Y84" s="78">
        <f t="shared" si="206"/>
        <v>1.1060986585782029E-2</v>
      </c>
      <c r="Z84" s="7">
        <f t="shared" si="207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/>
      <c r="L85" s="7"/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23">+SUM(C79:C85)+SUM(B86:B90)</f>
        <v>921.2346</v>
      </c>
      <c r="Q85" s="80">
        <f t="shared" si="223"/>
        <v>871.11079999999993</v>
      </c>
      <c r="R85" s="80">
        <f t="shared" si="223"/>
        <v>847.25559999999996</v>
      </c>
      <c r="S85" s="80">
        <f t="shared" si="223"/>
        <v>931.34730000000002</v>
      </c>
      <c r="T85" s="80">
        <f t="shared" si="223"/>
        <v>870.0077</v>
      </c>
      <c r="U85" s="80">
        <f t="shared" si="223"/>
        <v>841.24529999999993</v>
      </c>
      <c r="V85" s="80">
        <f t="shared" si="223"/>
        <v>781.96199999999999</v>
      </c>
      <c r="W85" s="67">
        <f t="shared" ref="W85" si="224">+SUM(J79:J85)+SUM(I86:I90)</f>
        <v>765.16120000000001</v>
      </c>
      <c r="X85" s="37"/>
      <c r="Y85" s="78"/>
      <c r="Z85" s="7"/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/>
      <c r="L86" s="7"/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25">+SUM(C79:C86)+SUM(B87:B90)</f>
        <v>914.32950000000005</v>
      </c>
      <c r="Q86" s="80">
        <f t="shared" si="225"/>
        <v>866.58549999999991</v>
      </c>
      <c r="R86" s="80">
        <f t="shared" si="225"/>
        <v>852.86860000000001</v>
      </c>
      <c r="S86" s="80">
        <f t="shared" si="225"/>
        <v>932.54430000000002</v>
      </c>
      <c r="T86" s="80">
        <f t="shared" si="225"/>
        <v>863.71550000000002</v>
      </c>
      <c r="U86" s="80">
        <f t="shared" si="225"/>
        <v>846.02089999999998</v>
      </c>
      <c r="V86" s="80">
        <f t="shared" si="225"/>
        <v>775.07169999999996</v>
      </c>
      <c r="W86" s="67">
        <f t="shared" ref="W86" si="226">+SUM(J79:J86)+SUM(I87:I90)</f>
        <v>769.45119999999997</v>
      </c>
      <c r="X86" s="37"/>
      <c r="Y86" s="78"/>
      <c r="Z86" s="7"/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/>
      <c r="L87" s="7"/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27">+SUM(C79:C87)+SUM(B88:B90)</f>
        <v>907.47389999999996</v>
      </c>
      <c r="Q87" s="80">
        <f t="shared" si="227"/>
        <v>855.03329999999994</v>
      </c>
      <c r="R87" s="80">
        <f t="shared" si="227"/>
        <v>859.33539999999994</v>
      </c>
      <c r="S87" s="80">
        <f t="shared" si="227"/>
        <v>940.55520000000001</v>
      </c>
      <c r="T87" s="80">
        <f t="shared" si="227"/>
        <v>850.10829999999999</v>
      </c>
      <c r="U87" s="80">
        <f t="shared" si="227"/>
        <v>850.27520000000004</v>
      </c>
      <c r="V87" s="80">
        <f t="shared" si="227"/>
        <v>768.65459999999996</v>
      </c>
      <c r="W87" s="67">
        <f t="shared" ref="W87" si="228">+SUM(J79:J87)+SUM(I88:I90)</f>
        <v>768.90030000000002</v>
      </c>
      <c r="X87" s="37"/>
      <c r="Y87" s="78"/>
      <c r="Z87" s="7"/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29">+SUM(C79:C88)+SUM(B89:B90)</f>
        <v>902.39879999999994</v>
      </c>
      <c r="Q88" s="80">
        <f t="shared" si="229"/>
        <v>847.17489999999998</v>
      </c>
      <c r="R88" s="80">
        <f t="shared" si="229"/>
        <v>871.19799999999987</v>
      </c>
      <c r="S88" s="80">
        <f t="shared" si="229"/>
        <v>942.16830000000004</v>
      </c>
      <c r="T88" s="80">
        <f t="shared" si="229"/>
        <v>835.22040000000004</v>
      </c>
      <c r="U88" s="80">
        <f t="shared" si="229"/>
        <v>857.32049999999992</v>
      </c>
      <c r="V88" s="80">
        <f t="shared" si="229"/>
        <v>769.60519999999997</v>
      </c>
      <c r="W88" s="67">
        <f t="shared" ref="W88" si="230">+SUM(J79:J88)+SUM(I89:I90)</f>
        <v>761.79738899999995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31">+SUM(C79:C89)+SUM(B90)</f>
        <v>900.3282999999999</v>
      </c>
      <c r="Q89" s="80">
        <f t="shared" si="231"/>
        <v>837.57490000000007</v>
      </c>
      <c r="R89" s="80">
        <f t="shared" si="231"/>
        <v>880.46949999999993</v>
      </c>
      <c r="S89" s="80">
        <f t="shared" si="231"/>
        <v>940.7555000000001</v>
      </c>
      <c r="T89" s="80">
        <f t="shared" si="231"/>
        <v>838.62630000000001</v>
      </c>
      <c r="U89" s="80">
        <f t="shared" si="231"/>
        <v>844.93839999999989</v>
      </c>
      <c r="V89" s="80">
        <f t="shared" si="231"/>
        <v>772.38119999999992</v>
      </c>
      <c r="W89" s="67">
        <f t="shared" ref="W89" si="232">+SUM(J79:J89)+SUM(I90)</f>
        <v>763.86518899999987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33">+SUM(C79:C90)</f>
        <v>892.50299999999993</v>
      </c>
      <c r="Q90" s="80">
        <f t="shared" si="233"/>
        <v>839.60210000000006</v>
      </c>
      <c r="R90" s="80">
        <f t="shared" si="233"/>
        <v>885.25929999999994</v>
      </c>
      <c r="S90" s="80">
        <f t="shared" si="233"/>
        <v>942.96580000000006</v>
      </c>
      <c r="T90" s="80">
        <f t="shared" si="233"/>
        <v>838.09540000000004</v>
      </c>
      <c r="U90" s="80">
        <f t="shared" si="233"/>
        <v>827.60979999999995</v>
      </c>
      <c r="V90" s="80">
        <f t="shared" si="233"/>
        <v>775.26019999999983</v>
      </c>
      <c r="W90" s="67">
        <f t="shared" ref="W90" si="234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35">SUM(C79:C90)</f>
        <v>892.50299999999993</v>
      </c>
      <c r="D91" s="54">
        <f t="shared" si="235"/>
        <v>839.60210000000006</v>
      </c>
      <c r="E91" s="54">
        <f t="shared" si="235"/>
        <v>885.25929999999994</v>
      </c>
      <c r="F91" s="54">
        <f t="shared" si="235"/>
        <v>942.96580000000006</v>
      </c>
      <c r="G91" s="54">
        <f t="shared" si="235"/>
        <v>838.09540000000004</v>
      </c>
      <c r="H91" s="54">
        <f t="shared" si="235"/>
        <v>827.60979999999995</v>
      </c>
      <c r="I91" s="54">
        <f t="shared" ref="I91:J91" si="236">SUM(I79:I90)</f>
        <v>775.26019999999983</v>
      </c>
      <c r="J91" s="186">
        <f t="shared" si="236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37">+AVERAGE(Q79:Q90)</f>
        <v>870.27951666666661</v>
      </c>
      <c r="R91" s="157">
        <f t="shared" si="237"/>
        <v>854.60643333333326</v>
      </c>
      <c r="S91" s="157">
        <f t="shared" si="237"/>
        <v>918.63471666666658</v>
      </c>
      <c r="T91" s="157">
        <f t="shared" si="237"/>
        <v>883.61136666666664</v>
      </c>
      <c r="U91" s="226">
        <f t="shared" si="237"/>
        <v>842.53499166666654</v>
      </c>
      <c r="V91" s="226">
        <f t="shared" ref="V91:W91" si="238">+AVERAGE(V79:V90)</f>
        <v>789.6481</v>
      </c>
      <c r="W91" s="220">
        <f t="shared" si="238"/>
        <v>765.75959724999996</v>
      </c>
      <c r="X91" s="220">
        <f t="shared" ref="X91" si="239">+AVERAGE(X79:X90)</f>
        <v>770.65608899999995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40">+D91/C91-1</f>
        <v>-5.9272517851480466E-2</v>
      </c>
      <c r="E92" s="62">
        <f t="shared" si="240"/>
        <v>5.4379568607558104E-2</v>
      </c>
      <c r="F92" s="62">
        <f t="shared" si="240"/>
        <v>6.5185985620258569E-2</v>
      </c>
      <c r="G92" s="62">
        <f t="shared" ref="G92" si="241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42">+Q91/P91-1</f>
        <v>-4.5955869825326512E-2</v>
      </c>
      <c r="R92" s="50">
        <f t="shared" si="242"/>
        <v>-1.800925223813632E-2</v>
      </c>
      <c r="S92" s="50">
        <f t="shared" si="242"/>
        <v>7.4921368288318968E-2</v>
      </c>
      <c r="T92" s="50">
        <f t="shared" si="242"/>
        <v>-3.8125436982269445E-2</v>
      </c>
      <c r="U92" s="62">
        <f t="shared" si="242"/>
        <v>-4.6486924624970061E-2</v>
      </c>
      <c r="V92" s="62">
        <f t="shared" si="242"/>
        <v>-6.2771151572052819E-2</v>
      </c>
      <c r="W92" s="190">
        <f t="shared" si="242"/>
        <v>-3.0252086657335142E-2</v>
      </c>
      <c r="X92" s="190">
        <f t="shared" si="242"/>
        <v>6.3942936759582292E-3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48" t="str">
        <f>+A5</f>
        <v>DESPACHO DOMESTICO ENVASADO EN DAMAJUANA - Millones de litros</v>
      </c>
      <c r="B96" s="349"/>
      <c r="C96" s="349"/>
      <c r="D96" s="349"/>
      <c r="E96" s="349"/>
      <c r="F96" s="349"/>
      <c r="G96" s="349"/>
      <c r="H96" s="349"/>
      <c r="I96" s="349"/>
      <c r="J96" s="349"/>
      <c r="K96" s="35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43">+C97+1</f>
        <v>2018</v>
      </c>
      <c r="E97" s="260">
        <f t="shared" si="243"/>
        <v>2019</v>
      </c>
      <c r="F97" s="260">
        <f t="shared" si="243"/>
        <v>2020</v>
      </c>
      <c r="G97" s="260">
        <f t="shared" si="243"/>
        <v>2021</v>
      </c>
      <c r="H97" s="260">
        <f t="shared" si="243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44">+SUM(C7:C9)</f>
        <v>8.2279</v>
      </c>
      <c r="D98" s="6">
        <f t="shared" si="244"/>
        <v>7.7675000000000001</v>
      </c>
      <c r="E98" s="6">
        <f t="shared" si="244"/>
        <v>7.5384999999999991</v>
      </c>
      <c r="F98" s="6">
        <f t="shared" si="244"/>
        <v>6.6530999999999993</v>
      </c>
      <c r="G98" s="6">
        <f t="shared" si="244"/>
        <v>6.8464999999999998</v>
      </c>
      <c r="H98" s="6">
        <f t="shared" si="244"/>
        <v>6.6273</v>
      </c>
      <c r="I98" s="6">
        <f t="shared" si="244"/>
        <v>6.1451999999999991</v>
      </c>
      <c r="J98" s="67">
        <f t="shared" si="244"/>
        <v>4.4094999999999995</v>
      </c>
      <c r="K98" s="265">
        <f t="shared" si="244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245">+SUM(C10:C12)</f>
        <v>8.3795000000000002</v>
      </c>
      <c r="D99" s="6">
        <f t="shared" si="245"/>
        <v>7.1362000000000005</v>
      </c>
      <c r="E99" s="6">
        <f t="shared" si="245"/>
        <v>7.4006999999999996</v>
      </c>
      <c r="F99" s="6">
        <f t="shared" si="245"/>
        <v>9.4367000000000001</v>
      </c>
      <c r="G99" s="6">
        <f t="shared" si="245"/>
        <v>7.3605</v>
      </c>
      <c r="H99" s="6">
        <f t="shared" si="245"/>
        <v>6.5982000000000003</v>
      </c>
      <c r="I99" s="6">
        <f t="shared" si="245"/>
        <v>8.3201000000000001</v>
      </c>
      <c r="J99" s="67">
        <f t="shared" si="245"/>
        <v>5.5247000000000002</v>
      </c>
      <c r="K99" s="265">
        <f t="shared" si="245"/>
        <v>4.1221999999999994</v>
      </c>
    </row>
    <row r="100" spans="1:11" x14ac:dyDescent="0.25">
      <c r="A100" s="264" t="s">
        <v>301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46">SUM(B98:B101)</f>
        <v>16.617699999999999</v>
      </c>
      <c r="C102" s="54">
        <f t="shared" si="246"/>
        <v>16.607399999999998</v>
      </c>
      <c r="D102" s="54">
        <f t="shared" si="246"/>
        <v>14.903700000000001</v>
      </c>
      <c r="E102" s="54">
        <f t="shared" si="246"/>
        <v>14.9392</v>
      </c>
      <c r="F102" s="54">
        <f t="shared" si="246"/>
        <v>16.0898</v>
      </c>
      <c r="G102" s="54">
        <f t="shared" si="246"/>
        <v>14.207000000000001</v>
      </c>
      <c r="H102" s="54">
        <f t="shared" si="246"/>
        <v>13.2255</v>
      </c>
      <c r="I102" s="54">
        <f t="shared" si="246"/>
        <v>14.465299999999999</v>
      </c>
      <c r="J102" s="186">
        <f t="shared" si="246"/>
        <v>9.9342000000000006</v>
      </c>
      <c r="K102" s="267">
        <f t="shared" si="246"/>
        <v>8.9163999999999994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47">+D98/C98-1</f>
        <v>-5.5955954739362435E-2</v>
      </c>
      <c r="E103" s="257">
        <f t="shared" si="247"/>
        <v>-2.9481815255874011E-2</v>
      </c>
      <c r="F103" s="257">
        <f t="shared" si="247"/>
        <v>-0.11745042117132054</v>
      </c>
      <c r="G103" s="257">
        <f t="shared" si="247"/>
        <v>2.9069155731914487E-2</v>
      </c>
      <c r="H103" s="257">
        <f t="shared" si="247"/>
        <v>-3.2016358723435334E-2</v>
      </c>
      <c r="I103" s="257">
        <f t="shared" si="247"/>
        <v>-7.2744556606763044E-2</v>
      </c>
      <c r="J103" s="258">
        <f t="shared" si="247"/>
        <v>-0.28244808956584</v>
      </c>
      <c r="K103" s="269">
        <f t="shared" si="247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248">+D99/C99-1</f>
        <v>-0.14837400799570377</v>
      </c>
      <c r="E104" s="257">
        <f t="shared" ref="E104" si="249">+E99/D99-1</f>
        <v>3.7064544155152479E-2</v>
      </c>
      <c r="F104" s="257">
        <f t="shared" ref="F104" si="250">+F99/E99-1</f>
        <v>0.27510911130028259</v>
      </c>
      <c r="G104" s="257">
        <f t="shared" ref="G104" si="251">+G99/F99-1</f>
        <v>-0.22001335212521322</v>
      </c>
      <c r="H104" s="257">
        <f t="shared" ref="H104" si="252">+H99/G99-1</f>
        <v>-0.1035663338088445</v>
      </c>
      <c r="I104" s="257">
        <f t="shared" ref="I104" si="253">+I99/H99-1</f>
        <v>0.26096511169712944</v>
      </c>
      <c r="J104" s="258">
        <f t="shared" ref="J104" si="254">+J99/I99-1</f>
        <v>-0.33598153868342928</v>
      </c>
      <c r="K104" s="269">
        <f t="shared" ref="K104" si="255">+K99/J99-1</f>
        <v>-0.25385993809618634</v>
      </c>
    </row>
    <row r="105" spans="1:11" x14ac:dyDescent="0.25">
      <c r="A105" s="268" t="s">
        <v>305</v>
      </c>
      <c r="B105" s="256"/>
      <c r="C105" s="257"/>
      <c r="D105" s="257"/>
      <c r="E105" s="257"/>
      <c r="F105" s="257"/>
      <c r="G105" s="257"/>
      <c r="H105" s="257"/>
      <c r="I105" s="257"/>
      <c r="J105" s="258"/>
      <c r="K105" s="269"/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48" t="str">
        <f>+A23</f>
        <v>DESPACHO DOMESTICO ENVASADO EN BOTELLA - Millones de litros</v>
      </c>
      <c r="B111" s="349"/>
      <c r="C111" s="349"/>
      <c r="D111" s="349"/>
      <c r="E111" s="349"/>
      <c r="F111" s="349"/>
      <c r="G111" s="349"/>
      <c r="H111" s="349"/>
      <c r="I111" s="349"/>
      <c r="J111" s="349"/>
      <c r="K111" s="35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256">+C112+1</f>
        <v>2018</v>
      </c>
      <c r="E112" s="260">
        <f t="shared" ref="E112" si="257">+D112+1</f>
        <v>2019</v>
      </c>
      <c r="F112" s="260">
        <f t="shared" ref="F112" si="258">+E112+1</f>
        <v>2020</v>
      </c>
      <c r="G112" s="260">
        <f t="shared" ref="G112" si="259">+F112+1</f>
        <v>2021</v>
      </c>
      <c r="H112" s="260">
        <f t="shared" ref="H112" si="260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261">+SUM(B25:B27)</f>
        <v>107.02800000000001</v>
      </c>
      <c r="C113" s="6">
        <f t="shared" si="261"/>
        <v>92.104299999999995</v>
      </c>
      <c r="D113" s="6">
        <f t="shared" si="261"/>
        <v>93.526600000000002</v>
      </c>
      <c r="E113" s="6">
        <f t="shared" si="261"/>
        <v>94.101600000000005</v>
      </c>
      <c r="F113" s="6">
        <f t="shared" si="261"/>
        <v>104.84439999999999</v>
      </c>
      <c r="G113" s="6">
        <f t="shared" si="261"/>
        <v>105.28530000000001</v>
      </c>
      <c r="H113" s="6">
        <f t="shared" si="261"/>
        <v>109.38900000000001</v>
      </c>
      <c r="I113" s="6">
        <f t="shared" si="261"/>
        <v>95.628299999999996</v>
      </c>
      <c r="J113" s="67">
        <f t="shared" si="261"/>
        <v>90.802000000000007</v>
      </c>
      <c r="K113" s="265">
        <f t="shared" si="261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262">+SUM(C28:C30)</f>
        <v>123.09549999999999</v>
      </c>
      <c r="D114" s="6">
        <f t="shared" si="262"/>
        <v>117.57940000000001</v>
      </c>
      <c r="E114" s="6">
        <f t="shared" si="262"/>
        <v>121.2174</v>
      </c>
      <c r="F114" s="6">
        <f t="shared" si="262"/>
        <v>141.45650000000001</v>
      </c>
      <c r="G114" s="6">
        <f t="shared" si="262"/>
        <v>123.85550000000001</v>
      </c>
      <c r="H114" s="6">
        <f t="shared" si="262"/>
        <v>127.42929999999998</v>
      </c>
      <c r="I114" s="6">
        <f t="shared" si="262"/>
        <v>112.0487</v>
      </c>
      <c r="J114" s="67">
        <f t="shared" si="262"/>
        <v>108.5275</v>
      </c>
      <c r="K114" s="265">
        <f t="shared" si="262"/>
        <v>119.0977</v>
      </c>
    </row>
    <row r="115" spans="1:11" x14ac:dyDescent="0.25">
      <c r="A115" s="264" t="s">
        <v>301</v>
      </c>
      <c r="B115" s="193"/>
      <c r="C115" s="6"/>
      <c r="D115" s="6"/>
      <c r="E115" s="6"/>
      <c r="F115" s="6"/>
      <c r="G115" s="6"/>
      <c r="H115" s="6"/>
      <c r="I115" s="6"/>
      <c r="J115" s="67"/>
      <c r="K115" s="265"/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263">SUM(B113:B116)</f>
        <v>233.52370000000002</v>
      </c>
      <c r="C117" s="54">
        <f t="shared" si="263"/>
        <v>215.19979999999998</v>
      </c>
      <c r="D117" s="54">
        <f t="shared" si="263"/>
        <v>211.10599999999999</v>
      </c>
      <c r="E117" s="54">
        <f t="shared" si="263"/>
        <v>215.31900000000002</v>
      </c>
      <c r="F117" s="54">
        <f t="shared" si="263"/>
        <v>246.30090000000001</v>
      </c>
      <c r="G117" s="54">
        <f t="shared" si="263"/>
        <v>229.14080000000001</v>
      </c>
      <c r="H117" s="54">
        <f t="shared" si="263"/>
        <v>236.81829999999999</v>
      </c>
      <c r="I117" s="54">
        <f t="shared" si="263"/>
        <v>207.67699999999999</v>
      </c>
      <c r="J117" s="186">
        <f t="shared" si="263"/>
        <v>199.3295</v>
      </c>
      <c r="K117" s="267">
        <f t="shared" si="263"/>
        <v>218.07260000000002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264">+D113/C113-1</f>
        <v>1.5442275767798108E-2</v>
      </c>
      <c r="E118" s="257">
        <f t="shared" si="264"/>
        <v>6.1479835683111439E-3</v>
      </c>
      <c r="F118" s="257">
        <f t="shared" si="264"/>
        <v>0.11416171457233437</v>
      </c>
      <c r="G118" s="257">
        <f t="shared" si="264"/>
        <v>4.2052794426790108E-3</v>
      </c>
      <c r="H118" s="257">
        <f t="shared" si="264"/>
        <v>3.8976951198315568E-2</v>
      </c>
      <c r="I118" s="257">
        <f t="shared" si="264"/>
        <v>-0.1257960123961277</v>
      </c>
      <c r="J118" s="258">
        <f t="shared" si="264"/>
        <v>-5.0469369423068122E-2</v>
      </c>
      <c r="K118" s="269">
        <f t="shared" si="264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265">+D114/C114-1</f>
        <v>-4.4811548756859332E-2</v>
      </c>
      <c r="E119" s="257">
        <f t="shared" ref="E119" si="266">+E114/D114-1</f>
        <v>3.0940794050658527E-2</v>
      </c>
      <c r="F119" s="257">
        <f t="shared" ref="F119" si="267">+F114/E114-1</f>
        <v>0.16696530366102569</v>
      </c>
      <c r="G119" s="257">
        <f t="shared" ref="G119" si="268">+G114/F114-1</f>
        <v>-0.12442694397217513</v>
      </c>
      <c r="H119" s="257">
        <f t="shared" ref="H119" si="269">+H114/G114-1</f>
        <v>2.8854592650306099E-2</v>
      </c>
      <c r="I119" s="257">
        <f t="shared" ref="I119" si="270">+I114/H114-1</f>
        <v>-0.12069908568908394</v>
      </c>
      <c r="J119" s="258">
        <f t="shared" ref="J119" si="271">+J114/I114-1</f>
        <v>-3.1425621180790064E-2</v>
      </c>
      <c r="K119" s="269">
        <f t="shared" ref="K119" si="272">+K114/J114-1</f>
        <v>9.739651240469005E-2</v>
      </c>
    </row>
    <row r="120" spans="1:11" x14ac:dyDescent="0.25">
      <c r="A120" s="268" t="s">
        <v>305</v>
      </c>
      <c r="B120" s="256"/>
      <c r="C120" s="257"/>
      <c r="D120" s="257"/>
      <c r="E120" s="257"/>
      <c r="F120" s="257"/>
      <c r="G120" s="257"/>
      <c r="H120" s="257"/>
      <c r="I120" s="257"/>
      <c r="J120" s="258"/>
      <c r="K120" s="269"/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48" t="str">
        <f>+A41</f>
        <v>DESPACHO DOMESTICO ENVASADO EN TETRABRIK - Millones de litros</v>
      </c>
      <c r="B126" s="349"/>
      <c r="C126" s="349"/>
      <c r="D126" s="349"/>
      <c r="E126" s="349"/>
      <c r="F126" s="349"/>
      <c r="G126" s="349"/>
      <c r="H126" s="349"/>
      <c r="I126" s="349"/>
      <c r="J126" s="349"/>
      <c r="K126" s="35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273">+C127+1</f>
        <v>2018</v>
      </c>
      <c r="E127" s="260">
        <f t="shared" ref="E127" si="274">+D127+1</f>
        <v>2019</v>
      </c>
      <c r="F127" s="260">
        <f t="shared" ref="F127" si="275">+E127+1</f>
        <v>2020</v>
      </c>
      <c r="G127" s="260">
        <f t="shared" ref="G127" si="276">+F127+1</f>
        <v>2021</v>
      </c>
      <c r="H127" s="260">
        <f t="shared" ref="H127" si="277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278">+SUM(C43:C45)</f>
        <v>85.806300000000007</v>
      </c>
      <c r="D128" s="6">
        <f t="shared" si="278"/>
        <v>83.594800000000006</v>
      </c>
      <c r="E128" s="6">
        <f t="shared" si="278"/>
        <v>86.254800000000003</v>
      </c>
      <c r="F128" s="6">
        <f t="shared" si="278"/>
        <v>84.845300000000009</v>
      </c>
      <c r="G128" s="6">
        <f t="shared" si="278"/>
        <v>66.09790000000001</v>
      </c>
      <c r="H128" s="6">
        <f t="shared" si="278"/>
        <v>69.705100000000002</v>
      </c>
      <c r="I128" s="6">
        <f t="shared" si="278"/>
        <v>58.786600000000007</v>
      </c>
      <c r="J128" s="67">
        <f t="shared" si="278"/>
        <v>58.858999999999995</v>
      </c>
      <c r="K128" s="265">
        <f t="shared" si="278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279">+SUM(C46:C48)</f>
        <v>102.79849999999999</v>
      </c>
      <c r="D129" s="6">
        <f t="shared" si="279"/>
        <v>94.658500000000004</v>
      </c>
      <c r="E129" s="6">
        <f t="shared" si="279"/>
        <v>92.487300000000005</v>
      </c>
      <c r="F129" s="6">
        <f t="shared" si="279"/>
        <v>88.6875</v>
      </c>
      <c r="G129" s="6">
        <f t="shared" si="279"/>
        <v>72.954700000000003</v>
      </c>
      <c r="H129" s="6">
        <f t="shared" si="279"/>
        <v>65.616</v>
      </c>
      <c r="I129" s="6">
        <f t="shared" si="279"/>
        <v>66.323599999999999</v>
      </c>
      <c r="J129" s="67">
        <f t="shared" si="279"/>
        <v>64.847800000000007</v>
      </c>
      <c r="K129" s="265">
        <f t="shared" si="279"/>
        <v>52.677800000000005</v>
      </c>
    </row>
    <row r="130" spans="1:11" x14ac:dyDescent="0.25">
      <c r="A130" s="264" t="s">
        <v>301</v>
      </c>
      <c r="B130" s="193"/>
      <c r="C130" s="6"/>
      <c r="D130" s="6"/>
      <c r="E130" s="6"/>
      <c r="F130" s="6"/>
      <c r="G130" s="6"/>
      <c r="H130" s="6"/>
      <c r="I130" s="6"/>
      <c r="J130" s="67"/>
      <c r="K130" s="265"/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280">SUM(B128:B131)</f>
        <v>191.92622</v>
      </c>
      <c r="C132" s="54">
        <f t="shared" si="280"/>
        <v>188.60480000000001</v>
      </c>
      <c r="D132" s="54">
        <f t="shared" si="280"/>
        <v>178.25330000000002</v>
      </c>
      <c r="E132" s="54">
        <f t="shared" si="280"/>
        <v>178.74209999999999</v>
      </c>
      <c r="F132" s="54">
        <f t="shared" si="280"/>
        <v>173.53280000000001</v>
      </c>
      <c r="G132" s="54">
        <f t="shared" si="280"/>
        <v>139.05260000000001</v>
      </c>
      <c r="H132" s="54">
        <f t="shared" si="280"/>
        <v>135.3211</v>
      </c>
      <c r="I132" s="54">
        <f t="shared" si="280"/>
        <v>125.11020000000001</v>
      </c>
      <c r="J132" s="186">
        <f t="shared" si="280"/>
        <v>123.7068</v>
      </c>
      <c r="K132" s="267">
        <f t="shared" si="280"/>
        <v>112.2559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281">+D128/C128-1</f>
        <v>-2.5773165839804268E-2</v>
      </c>
      <c r="E133" s="257">
        <f t="shared" si="281"/>
        <v>3.1820161062649843E-2</v>
      </c>
      <c r="F133" s="257">
        <f t="shared" si="281"/>
        <v>-1.6341119566679163E-2</v>
      </c>
      <c r="G133" s="257">
        <f t="shared" si="281"/>
        <v>-0.2209597938836918</v>
      </c>
      <c r="H133" s="257">
        <f t="shared" si="281"/>
        <v>5.457359462252187E-2</v>
      </c>
      <c r="I133" s="257">
        <f t="shared" si="281"/>
        <v>-0.15663846691275096</v>
      </c>
      <c r="J133" s="258">
        <f t="shared" si="281"/>
        <v>1.2315731816432418E-3</v>
      </c>
      <c r="K133" s="269">
        <f t="shared" si="281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282">+D129/C129-1</f>
        <v>-7.9184034786499713E-2</v>
      </c>
      <c r="E134" s="257">
        <f t="shared" ref="E134" si="283">+E129/D129-1</f>
        <v>-2.2937190004067243E-2</v>
      </c>
      <c r="F134" s="257">
        <f t="shared" ref="F134" si="284">+F129/E129-1</f>
        <v>-4.1084559717928903E-2</v>
      </c>
      <c r="G134" s="257">
        <f t="shared" ref="G134" si="285">+G129/F129-1</f>
        <v>-0.17739591261451726</v>
      </c>
      <c r="H134" s="257">
        <f t="shared" ref="H134" si="286">+H129/G129-1</f>
        <v>-0.10059255949239743</v>
      </c>
      <c r="I134" s="257">
        <f t="shared" ref="I134" si="287">+I129/H129-1</f>
        <v>1.0783955132894318E-2</v>
      </c>
      <c r="J134" s="258">
        <f t="shared" ref="J134" si="288">+J129/I129-1</f>
        <v>-2.2251506251168451E-2</v>
      </c>
      <c r="K134" s="269">
        <f t="shared" ref="K134" si="289">+K129/J129-1</f>
        <v>-0.18767020623675745</v>
      </c>
    </row>
    <row r="135" spans="1:11" x14ac:dyDescent="0.25">
      <c r="A135" s="268" t="s">
        <v>305</v>
      </c>
      <c r="B135" s="256"/>
      <c r="C135" s="257"/>
      <c r="D135" s="257"/>
      <c r="E135" s="257"/>
      <c r="F135" s="257"/>
      <c r="G135" s="257"/>
      <c r="H135" s="257"/>
      <c r="I135" s="257"/>
      <c r="J135" s="258"/>
      <c r="K135" s="269"/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48" t="str">
        <f>+A59</f>
        <v>DESPACHO DOMESTICO ENVASADO EN OTROS ENVASES - Millones de litros</v>
      </c>
      <c r="B141" s="349"/>
      <c r="C141" s="349"/>
      <c r="D141" s="349"/>
      <c r="E141" s="349"/>
      <c r="F141" s="349"/>
      <c r="G141" s="349"/>
      <c r="H141" s="349"/>
      <c r="I141" s="349"/>
      <c r="J141" s="349"/>
      <c r="K141" s="35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290">+C142+1</f>
        <v>2018</v>
      </c>
      <c r="E142" s="260">
        <f t="shared" ref="E142" si="291">+D142+1</f>
        <v>2019</v>
      </c>
      <c r="F142" s="260">
        <f t="shared" ref="F142" si="292">+E142+1</f>
        <v>2020</v>
      </c>
      <c r="G142" s="260">
        <f t="shared" ref="G142" si="293">+F142+1</f>
        <v>2021</v>
      </c>
      <c r="H142" s="260">
        <f t="shared" ref="H142" si="294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295">+SUM(C61:C63)</f>
        <v>0.44719999999998983</v>
      </c>
      <c r="D143" s="6">
        <f t="shared" si="295"/>
        <v>0.3053999999999899</v>
      </c>
      <c r="E143" s="6">
        <f t="shared" si="295"/>
        <v>1.2835999999999979</v>
      </c>
      <c r="F143" s="6">
        <f t="shared" si="295"/>
        <v>0.76759999999999673</v>
      </c>
      <c r="G143" s="6">
        <f t="shared" si="295"/>
        <v>1.0710999999999999</v>
      </c>
      <c r="H143" s="6">
        <f t="shared" si="295"/>
        <v>0.59510000000000041</v>
      </c>
      <c r="I143" s="6">
        <f t="shared" si="295"/>
        <v>1.2594000000000021</v>
      </c>
      <c r="J143" s="67">
        <f t="shared" si="295"/>
        <v>0.77710000000000234</v>
      </c>
      <c r="K143" s="265">
        <f t="shared" si="295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296">+SUM(C64:C66)</f>
        <v>0.35960000000000081</v>
      </c>
      <c r="D144" s="6">
        <f t="shared" si="296"/>
        <v>0.2405999999999886</v>
      </c>
      <c r="E144" s="6">
        <f t="shared" si="296"/>
        <v>0.59730000000000505</v>
      </c>
      <c r="F144" s="6">
        <f t="shared" si="296"/>
        <v>0.48299999999999876</v>
      </c>
      <c r="G144" s="6">
        <f t="shared" si="296"/>
        <v>0.88319999999998977</v>
      </c>
      <c r="H144" s="6">
        <f t="shared" si="296"/>
        <v>0.872999999999996</v>
      </c>
      <c r="I144" s="6">
        <f t="shared" si="296"/>
        <v>0.99809999999999754</v>
      </c>
      <c r="J144" s="67">
        <f t="shared" si="296"/>
        <v>0.69560000000000177</v>
      </c>
      <c r="K144" s="265">
        <f t="shared" si="296"/>
        <v>0.55050000000001331</v>
      </c>
    </row>
    <row r="145" spans="1:11" x14ac:dyDescent="0.25">
      <c r="A145" s="264" t="s">
        <v>301</v>
      </c>
      <c r="B145" s="193"/>
      <c r="C145" s="6"/>
      <c r="D145" s="6"/>
      <c r="E145" s="6"/>
      <c r="F145" s="6"/>
      <c r="G145" s="6"/>
      <c r="H145" s="6"/>
      <c r="I145" s="6"/>
      <c r="J145" s="67"/>
      <c r="K145" s="265"/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297">SUM(B143:B146)</f>
        <v>1.4771800000000042</v>
      </c>
      <c r="C147" s="54">
        <f t="shared" si="297"/>
        <v>0.80679999999999064</v>
      </c>
      <c r="D147" s="54">
        <f t="shared" si="297"/>
        <v>0.5459999999999785</v>
      </c>
      <c r="E147" s="54">
        <f t="shared" si="297"/>
        <v>1.8809000000000029</v>
      </c>
      <c r="F147" s="54">
        <f t="shared" si="297"/>
        <v>1.2505999999999955</v>
      </c>
      <c r="G147" s="54">
        <f t="shared" si="297"/>
        <v>1.9542999999999897</v>
      </c>
      <c r="H147" s="54">
        <f t="shared" si="297"/>
        <v>1.4680999999999964</v>
      </c>
      <c r="I147" s="54">
        <f t="shared" si="297"/>
        <v>2.2574999999999994</v>
      </c>
      <c r="J147" s="186">
        <f t="shared" si="297"/>
        <v>1.4727000000000041</v>
      </c>
      <c r="K147" s="267">
        <f t="shared" si="297"/>
        <v>1.1676000000000071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298">+D143/C143-1</f>
        <v>-0.31708407871199273</v>
      </c>
      <c r="E148" s="257">
        <f t="shared" si="298"/>
        <v>3.2030124426982329</v>
      </c>
      <c r="F148" s="257">
        <f t="shared" si="298"/>
        <v>-0.40199439077594423</v>
      </c>
      <c r="G148" s="257">
        <f t="shared" si="298"/>
        <v>0.39538822303283538</v>
      </c>
      <c r="H148" s="257">
        <f t="shared" si="298"/>
        <v>-0.44440295023807264</v>
      </c>
      <c r="I148" s="257">
        <f t="shared" si="298"/>
        <v>1.1162829776508172</v>
      </c>
      <c r="J148" s="258">
        <f t="shared" si="298"/>
        <v>-0.38296013974908605</v>
      </c>
      <c r="K148" s="269">
        <f t="shared" si="298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299">+D144/C144-1</f>
        <v>-0.33092324805342588</v>
      </c>
      <c r="E149" s="257">
        <f t="shared" ref="E149" si="300">+E144/D144-1</f>
        <v>1.482543640897894</v>
      </c>
      <c r="F149" s="257">
        <f t="shared" ref="F149" si="301">+F144/E144-1</f>
        <v>-0.19136112506279146</v>
      </c>
      <c r="G149" s="257">
        <f t="shared" ref="G149" si="302">+G144/F144-1</f>
        <v>0.82857142857141208</v>
      </c>
      <c r="H149" s="257">
        <f t="shared" ref="H149" si="303">+H144/G144-1</f>
        <v>-1.1548913043471387E-2</v>
      </c>
      <c r="I149" s="257">
        <f t="shared" ref="I149" si="304">+I144/H144-1</f>
        <v>0.14329896907216733</v>
      </c>
      <c r="J149" s="258">
        <f t="shared" ref="J149" si="305">+J144/I144-1</f>
        <v>-0.30307584410379373</v>
      </c>
      <c r="K149" s="269">
        <f t="shared" ref="K149" si="306">+K144/J144-1</f>
        <v>-0.20859689476709042</v>
      </c>
    </row>
    <row r="150" spans="1:11" x14ac:dyDescent="0.25">
      <c r="A150" s="268" t="s">
        <v>305</v>
      </c>
      <c r="B150" s="256"/>
      <c r="C150" s="257"/>
      <c r="D150" s="257"/>
      <c r="E150" s="257"/>
      <c r="F150" s="257"/>
      <c r="G150" s="257"/>
      <c r="H150" s="257"/>
      <c r="I150" s="257"/>
      <c r="J150" s="258"/>
      <c r="K150" s="269"/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1:Z1"/>
    <mergeCell ref="A2:Z2"/>
    <mergeCell ref="A3:Z3"/>
    <mergeCell ref="A5:L5"/>
    <mergeCell ref="N5:Z5"/>
    <mergeCell ref="N77:Z77"/>
    <mergeCell ref="A23:L23"/>
    <mergeCell ref="N23:Z23"/>
    <mergeCell ref="A41:L41"/>
    <mergeCell ref="N41:Z41"/>
    <mergeCell ref="A59:L59"/>
    <mergeCell ref="N59:Z59"/>
    <mergeCell ref="A96:K96"/>
    <mergeCell ref="A111:K111"/>
    <mergeCell ref="A126:K126"/>
    <mergeCell ref="A141:K141"/>
    <mergeCell ref="A77:L77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X156" sqref="X156:Z156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243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244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'!B401/10000</f>
        <v>14.388199999999999</v>
      </c>
      <c r="J7" s="67">
        <f>+'[3]1.CONSUMO ARGENTINA POR TIPO '!B413/10000</f>
        <v>12.1046</v>
      </c>
      <c r="K7" s="37">
        <f>+'[3]1.CONSUMO ARGENTINA POR TIPO '!B425/10000</f>
        <v>14.5138</v>
      </c>
      <c r="L7" s="7">
        <f t="shared" ref="L7" si="2">+J7/I7-1</f>
        <v>-0.15871339013914176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224.80929999999998</v>
      </c>
      <c r="X7" s="37">
        <f t="shared" si="3"/>
        <v>226.59130000000002</v>
      </c>
      <c r="Y7" s="78">
        <f t="shared" ref="Y7:Y12" si="4">+X7/W7-1</f>
        <v>7.9267183341615866E-3</v>
      </c>
      <c r="Z7" s="7">
        <f t="shared" ref="Z7:Z12" si="5">+POWER(X7/S7,0.2)-1</f>
        <v>9.2202521561082218E-3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'!B402/10000</f>
        <v>13.856199999999999</v>
      </c>
      <c r="J8" s="67">
        <f>+'[3]1.CONSUMO ARGENTINA POR TIPO '!B414/10000</f>
        <v>13.9244</v>
      </c>
      <c r="K8" s="37">
        <f>+'[3]1.CONSUMO ARGENTINA POR TIPO '!B426/10000</f>
        <v>13.2531</v>
      </c>
      <c r="L8" s="7">
        <f t="shared" ref="L8" si="6">+J8/I8-1</f>
        <v>4.9219843824426235E-3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7">+SUM(C7:C8)+SUM(B9:B18)</f>
        <v>201.81571299999999</v>
      </c>
      <c r="Q8" s="6">
        <f t="shared" si="7"/>
        <v>192.44149999999996</v>
      </c>
      <c r="R8" s="6">
        <f t="shared" si="7"/>
        <v>188.97130000000004</v>
      </c>
      <c r="S8" s="6">
        <f t="shared" si="7"/>
        <v>217.33330000000004</v>
      </c>
      <c r="T8" s="6">
        <f t="shared" si="7"/>
        <v>259.05600000000004</v>
      </c>
      <c r="U8" s="6">
        <f t="shared" si="7"/>
        <v>250.31540000000001</v>
      </c>
      <c r="V8" s="6">
        <f t="shared" si="7"/>
        <v>262.54419999999999</v>
      </c>
      <c r="W8" s="67">
        <f t="shared" si="7"/>
        <v>224.8775</v>
      </c>
      <c r="X8" s="37">
        <f t="shared" si="7"/>
        <v>225.92000000000002</v>
      </c>
      <c r="Y8" s="78">
        <f t="shared" si="4"/>
        <v>4.635857300085755E-3</v>
      </c>
      <c r="Z8" s="7">
        <f t="shared" si="5"/>
        <v>7.7798740517511789E-3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'!B403/10000</f>
        <v>16.862100000000002</v>
      </c>
      <c r="J9" s="67">
        <f>+'[3]1.CONSUMO ARGENTINA POR TIPO '!B415/10000</f>
        <v>14.7433</v>
      </c>
      <c r="K9" s="37">
        <f>+'[3]1.CONSUMO ARGENTINA POR TIPO '!B427/10000</f>
        <v>16.894600000000001</v>
      </c>
      <c r="L9" s="7">
        <f t="shared" ref="L9" si="8">+J9/I9-1</f>
        <v>-0.12565457445988348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9">+SUM(C7:C9)+SUM(B10:B18)</f>
        <v>200.54981299999997</v>
      </c>
      <c r="Q9" s="6">
        <f t="shared" si="9"/>
        <v>191.98929999999996</v>
      </c>
      <c r="R9" s="6">
        <f t="shared" si="9"/>
        <v>190.5273</v>
      </c>
      <c r="S9" s="6">
        <f t="shared" si="9"/>
        <v>219.1377</v>
      </c>
      <c r="T9" s="6">
        <f t="shared" si="9"/>
        <v>260.95999999999998</v>
      </c>
      <c r="U9" s="6">
        <f t="shared" si="9"/>
        <v>253.75720000000001</v>
      </c>
      <c r="V9" s="6">
        <f t="shared" si="9"/>
        <v>258.07260000000002</v>
      </c>
      <c r="W9" s="67">
        <f t="shared" si="9"/>
        <v>222.7587</v>
      </c>
      <c r="X9" s="67">
        <f t="shared" si="9"/>
        <v>228.07130000000001</v>
      </c>
      <c r="Y9" s="78">
        <f t="shared" si="4"/>
        <v>2.384912463576061E-2</v>
      </c>
      <c r="Z9" s="7">
        <f t="shared" si="5"/>
        <v>8.0236180738739726E-3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'!B404/10000</f>
        <v>16.897400000000001</v>
      </c>
      <c r="J10" s="67">
        <f>+'[3]1.CONSUMO ARGENTINA POR TIPO '!B416/10000</f>
        <v>17.9559</v>
      </c>
      <c r="K10" s="37">
        <f>+'[3]1.CONSUMO ARGENTINA POR TIPO '!B428/10000</f>
        <v>20.9985</v>
      </c>
      <c r="L10" s="7">
        <f t="shared" ref="L10" si="10">+J10/I10-1</f>
        <v>6.2642773444435251E-2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11">+SUM(C7:C10)+SUM(B11:B18)</f>
        <v>197.85871299999999</v>
      </c>
      <c r="Q10" s="6">
        <f t="shared" si="11"/>
        <v>192.41769999999997</v>
      </c>
      <c r="R10" s="6">
        <f t="shared" si="11"/>
        <v>192.31569999999999</v>
      </c>
      <c r="S10" s="6">
        <f t="shared" si="11"/>
        <v>219.8742</v>
      </c>
      <c r="T10" s="6">
        <f t="shared" si="11"/>
        <v>264.41460000000001</v>
      </c>
      <c r="U10" s="6">
        <f t="shared" si="11"/>
        <v>255.0258</v>
      </c>
      <c r="V10" s="6">
        <f t="shared" si="11"/>
        <v>253.64300000000003</v>
      </c>
      <c r="W10" s="67">
        <f t="shared" si="11"/>
        <v>223.81720000000001</v>
      </c>
      <c r="X10" s="37">
        <f t="shared" si="11"/>
        <v>231.1139</v>
      </c>
      <c r="Y10" s="78">
        <f t="shared" si="4"/>
        <v>3.2601158445374034E-2</v>
      </c>
      <c r="Z10" s="7">
        <f t="shared" si="5"/>
        <v>1.002089584517174E-2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'!B405/10000</f>
        <v>20.563300000000002</v>
      </c>
      <c r="J11" s="67">
        <f>+'[3]1.CONSUMO ARGENTINA POR TIPO '!B417/10000</f>
        <v>26.308199999999999</v>
      </c>
      <c r="K11" s="37">
        <f>+'[3]1.CONSUMO ARGENTINA POR TIPO '!B429/10000</f>
        <v>26.363499999999998</v>
      </c>
      <c r="L11" s="7">
        <f t="shared" ref="L11" si="12">+J11/I11-1</f>
        <v>0.27937636468854699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13">+SUM(C7:C11)+SUM(B12:B18)</f>
        <v>197.043813</v>
      </c>
      <c r="Q11" s="6">
        <f t="shared" si="13"/>
        <v>191.2817</v>
      </c>
      <c r="R11" s="6">
        <f t="shared" si="13"/>
        <v>198.09180000000001</v>
      </c>
      <c r="S11" s="6">
        <f t="shared" si="13"/>
        <v>221.81550000000001</v>
      </c>
      <c r="T11" s="6">
        <f t="shared" si="13"/>
        <v>263.24699999999996</v>
      </c>
      <c r="U11" s="6">
        <f t="shared" si="13"/>
        <v>256.20669999999996</v>
      </c>
      <c r="V11" s="6">
        <f t="shared" si="13"/>
        <v>252.71629999999999</v>
      </c>
      <c r="W11" s="67">
        <f t="shared" si="13"/>
        <v>229.56209999999999</v>
      </c>
      <c r="X11" s="37">
        <f t="shared" si="13"/>
        <v>231.16919999999999</v>
      </c>
      <c r="Y11" s="78">
        <f t="shared" si="4"/>
        <v>7.0007200665964664E-3</v>
      </c>
      <c r="Z11" s="7">
        <f t="shared" si="5"/>
        <v>8.2950054172397092E-3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'!B406/10000</f>
        <v>17.962700000000002</v>
      </c>
      <c r="J12" s="67">
        <f>+'[3]1.CONSUMO ARGENTINA POR TIPO '!B418/10000</f>
        <v>15.931800000000001</v>
      </c>
      <c r="K12" s="37">
        <f>+'[3]1.CONSUMO ARGENTINA POR TIPO '!B430/10000</f>
        <v>20.870799999999999</v>
      </c>
      <c r="L12" s="7">
        <f t="shared" ref="L12" si="14">+J12/I12-1</f>
        <v>-0.11306206750655523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5">+SUM(C7:C12)+SUM(B13:B18)</f>
        <v>197.97641300000001</v>
      </c>
      <c r="Q12" s="6">
        <f t="shared" si="15"/>
        <v>190.33969999999999</v>
      </c>
      <c r="R12" s="6">
        <f t="shared" si="15"/>
        <v>200.3261</v>
      </c>
      <c r="S12" s="6">
        <f t="shared" si="15"/>
        <v>226.203</v>
      </c>
      <c r="T12" s="6">
        <f t="shared" si="15"/>
        <v>265.40269999999998</v>
      </c>
      <c r="U12" s="6">
        <f t="shared" si="15"/>
        <v>258.17650000000003</v>
      </c>
      <c r="V12" s="6">
        <f t="shared" si="15"/>
        <v>244.1241</v>
      </c>
      <c r="W12" s="67">
        <f t="shared" si="15"/>
        <v>227.53119999999998</v>
      </c>
      <c r="X12" s="37">
        <f t="shared" si="15"/>
        <v>236.10820000000001</v>
      </c>
      <c r="Y12" s="78">
        <f t="shared" si="4"/>
        <v>3.7695929173669596E-2</v>
      </c>
      <c r="Z12" s="7">
        <f t="shared" si="5"/>
        <v>8.6083098974076844E-3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'!B407/10000</f>
        <v>19.847799999999999</v>
      </c>
      <c r="J13" s="67">
        <f>+'[3]1.CONSUMO ARGENTINA POR TIPO '!B419/10000</f>
        <v>21.844100000000001</v>
      </c>
      <c r="K13" s="37"/>
      <c r="L13" s="7"/>
      <c r="M13" s="2"/>
      <c r="N13" s="42" t="s">
        <v>4</v>
      </c>
      <c r="O13" s="193">
        <f>+'[2]CONSUMO EN ARGENTINA POR COLOR'!F1161*9</f>
        <v>180.23909899999998</v>
      </c>
      <c r="P13" s="6">
        <f t="shared" ref="P13:W13" si="16">+SUM(C7:C13)+SUM(B14:B18)</f>
        <v>199.004413</v>
      </c>
      <c r="Q13" s="6">
        <f t="shared" si="16"/>
        <v>188.41370000000001</v>
      </c>
      <c r="R13" s="6">
        <f t="shared" si="16"/>
        <v>203.72030000000001</v>
      </c>
      <c r="S13" s="6">
        <f t="shared" si="16"/>
        <v>232.8355</v>
      </c>
      <c r="T13" s="6">
        <f t="shared" si="16"/>
        <v>260.6019</v>
      </c>
      <c r="U13" s="6">
        <f t="shared" si="16"/>
        <v>261.14600000000002</v>
      </c>
      <c r="V13" s="6">
        <f t="shared" si="16"/>
        <v>238.82940000000002</v>
      </c>
      <c r="W13" s="67">
        <f t="shared" si="16"/>
        <v>229.5275</v>
      </c>
      <c r="X13" s="37"/>
      <c r="Y13" s="78"/>
      <c r="Z13" s="7"/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'!B408/10000</f>
        <v>23.720600000000001</v>
      </c>
      <c r="J14" s="67">
        <f>+'[3]1.CONSUMO ARGENTINA POR TIPO '!B420/10000</f>
        <v>23.2133</v>
      </c>
      <c r="K14" s="37"/>
      <c r="L14" s="7"/>
      <c r="M14" s="2"/>
      <c r="N14" s="42" t="s">
        <v>5</v>
      </c>
      <c r="O14" s="193">
        <f>+'[2]CONSUMO EN ARGENTINA POR COLOR'!F1162*9</f>
        <v>180.30462</v>
      </c>
      <c r="P14" s="6">
        <f t="shared" ref="P14:W14" si="17">+SUM(C7:C14)+SUM(B15:B18)</f>
        <v>194.26961299999999</v>
      </c>
      <c r="Q14" s="6">
        <f t="shared" si="17"/>
        <v>187.32490000000001</v>
      </c>
      <c r="R14" s="6">
        <f t="shared" si="17"/>
        <v>205.51159999999999</v>
      </c>
      <c r="S14" s="6">
        <f t="shared" si="17"/>
        <v>236.86849999999998</v>
      </c>
      <c r="T14" s="6">
        <f t="shared" si="17"/>
        <v>260.80160000000001</v>
      </c>
      <c r="U14" s="6">
        <f t="shared" si="17"/>
        <v>263.80119999999999</v>
      </c>
      <c r="V14" s="6">
        <f t="shared" si="17"/>
        <v>234.2321</v>
      </c>
      <c r="W14" s="67">
        <f t="shared" si="17"/>
        <v>229.02019999999999</v>
      </c>
      <c r="X14" s="37"/>
      <c r="Y14" s="78"/>
      <c r="Z14" s="7"/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'!B409/10000</f>
        <v>22.594100000000001</v>
      </c>
      <c r="J15" s="67">
        <f>+'[3]1.CONSUMO ARGENTINA POR TIPO '!B421/10000</f>
        <v>23.1845</v>
      </c>
      <c r="K15" s="37"/>
      <c r="L15" s="7"/>
      <c r="M15" s="2"/>
      <c r="N15" s="42" t="s">
        <v>6</v>
      </c>
      <c r="O15" s="193">
        <f>+'[2]CONSUMO EN ARGENTINA POR COLOR'!F1163*9</f>
        <v>181.537193</v>
      </c>
      <c r="P15" s="6">
        <f t="shared" ref="P15:W15" si="18">+SUM(C7:C15)+SUM(B16:B18)</f>
        <v>188.851913</v>
      </c>
      <c r="Q15" s="6">
        <f t="shared" si="18"/>
        <v>188.43710000000002</v>
      </c>
      <c r="R15" s="6">
        <f t="shared" si="18"/>
        <v>207.65600000000001</v>
      </c>
      <c r="S15" s="6">
        <f t="shared" si="18"/>
        <v>242.81959999999998</v>
      </c>
      <c r="T15" s="6">
        <f t="shared" si="18"/>
        <v>254.67570000000001</v>
      </c>
      <c r="U15" s="6">
        <f t="shared" si="18"/>
        <v>269.57710000000003</v>
      </c>
      <c r="V15" s="6">
        <f t="shared" si="18"/>
        <v>230.30539999999999</v>
      </c>
      <c r="W15" s="67">
        <f t="shared" si="18"/>
        <v>229.61060000000001</v>
      </c>
      <c r="X15" s="37"/>
      <c r="Y15" s="78"/>
      <c r="Z15" s="7"/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'!B410/10000</f>
        <v>21.883299999999998</v>
      </c>
      <c r="J16" s="67">
        <f>+'[3]1.CONSUMO ARGENTINA POR TIPO '!B422/10000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183.53897699999999</v>
      </c>
      <c r="P16" s="6">
        <f t="shared" ref="P16:W16" si="19">+SUM(C7:C16)+SUM(B17:B18)</f>
        <v>189.84191300000003</v>
      </c>
      <c r="Q16" s="6">
        <f t="shared" si="19"/>
        <v>186.02019999999999</v>
      </c>
      <c r="R16" s="6">
        <f t="shared" si="19"/>
        <v>211.13499999999999</v>
      </c>
      <c r="S16" s="6">
        <f t="shared" si="19"/>
        <v>245.13920000000002</v>
      </c>
      <c r="T16" s="6">
        <f t="shared" si="19"/>
        <v>249.50889999999998</v>
      </c>
      <c r="U16" s="6">
        <f t="shared" si="19"/>
        <v>273.34580000000005</v>
      </c>
      <c r="V16" s="6">
        <f t="shared" si="19"/>
        <v>228.48469999999998</v>
      </c>
      <c r="W16" s="67">
        <f t="shared" si="19"/>
        <v>226.90040000000002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'!B411/10000</f>
        <v>21.8248</v>
      </c>
      <c r="J17" s="67">
        <f>+'[3]1.CONSUMO ARGENTINA POR TIPO '!B423/10000</f>
        <v>20.632999999999999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20">+SUM(C7:C17)+SUM(B18)</f>
        <v>190.66301300000001</v>
      </c>
      <c r="Q17" s="6">
        <f t="shared" si="20"/>
        <v>183.18680000000001</v>
      </c>
      <c r="R17" s="6">
        <f t="shared" si="20"/>
        <v>215.15819999999999</v>
      </c>
      <c r="S17" s="6">
        <f t="shared" si="20"/>
        <v>248.5565</v>
      </c>
      <c r="T17" s="6">
        <f t="shared" si="20"/>
        <v>248.39139999999998</v>
      </c>
      <c r="U17" s="6">
        <f t="shared" si="20"/>
        <v>274.24170000000004</v>
      </c>
      <c r="V17" s="6">
        <f t="shared" si="20"/>
        <v>226.17589999999998</v>
      </c>
      <c r="W17" s="67">
        <f t="shared" si="20"/>
        <v>225.70860000000002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'!B412/10000</f>
        <v>16.692399999999999</v>
      </c>
      <c r="J18" s="67">
        <f>+'[3]1.CONSUMO ARGENTINA POR TIPO '!B424/10000</f>
        <v>15.165900000000001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21">+SUM(C7:C18)</f>
        <v>190.700613</v>
      </c>
      <c r="Q18" s="6">
        <f t="shared" si="21"/>
        <v>186.27010000000001</v>
      </c>
      <c r="R18" s="6">
        <f t="shared" si="21"/>
        <v>216.21199999999999</v>
      </c>
      <c r="S18" s="6">
        <f t="shared" si="21"/>
        <v>250.81399999999999</v>
      </c>
      <c r="T18" s="6">
        <f t="shared" si="21"/>
        <v>250.40859999999998</v>
      </c>
      <c r="U18" s="6">
        <f t="shared" si="21"/>
        <v>268.05240000000003</v>
      </c>
      <c r="V18" s="6">
        <f t="shared" si="21"/>
        <v>227.09289999999999</v>
      </c>
      <c r="W18" s="67">
        <f t="shared" si="21"/>
        <v>224.18210000000002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22">SUM(C7:C18)</f>
        <v>190.700613</v>
      </c>
      <c r="D19" s="54">
        <f t="shared" si="22"/>
        <v>186.27010000000001</v>
      </c>
      <c r="E19" s="54">
        <f t="shared" si="22"/>
        <v>216.21199999999999</v>
      </c>
      <c r="F19" s="54">
        <f t="shared" si="22"/>
        <v>250.81399999999999</v>
      </c>
      <c r="G19" s="54">
        <f t="shared" si="22"/>
        <v>250.40859999999998</v>
      </c>
      <c r="H19" s="54">
        <f t="shared" ref="H19:I19" si="23">SUM(H7:H18)</f>
        <v>268.05240000000003</v>
      </c>
      <c r="I19" s="54">
        <f t="shared" si="23"/>
        <v>227.09289999999999</v>
      </c>
      <c r="J19" s="186">
        <f t="shared" ref="J19" si="24">SUM(J7:J18)</f>
        <v>224.18210000000002</v>
      </c>
      <c r="K19" s="186"/>
      <c r="L19" s="56"/>
      <c r="M19" s="3"/>
      <c r="N19" s="43" t="s">
        <v>14</v>
      </c>
      <c r="O19" s="238">
        <f t="shared" ref="O19" si="25">+AVERAGE(O7:O18)</f>
        <v>178.82120283333333</v>
      </c>
      <c r="P19" s="46">
        <f>+AVERAGE(P7:P18)</f>
        <v>196.03323799999998</v>
      </c>
      <c r="Q19" s="46">
        <f t="shared" ref="Q19:T19" si="26">+AVERAGE(Q7:Q18)</f>
        <v>189.0905416666667</v>
      </c>
      <c r="R19" s="46">
        <f t="shared" si="26"/>
        <v>201.54150000000001</v>
      </c>
      <c r="S19" s="46">
        <f t="shared" si="26"/>
        <v>231.48541666666665</v>
      </c>
      <c r="T19" s="46">
        <f t="shared" si="26"/>
        <v>257.76966666666664</v>
      </c>
      <c r="U19" s="226">
        <f t="shared" ref="U19:V19" si="27">+AVERAGE(U7:U18)</f>
        <v>261.02770833333335</v>
      </c>
      <c r="V19" s="226">
        <f t="shared" si="27"/>
        <v>243.52431666666669</v>
      </c>
      <c r="W19" s="220">
        <f t="shared" ref="W19:X19" si="28">+AVERAGE(W7:W18)</f>
        <v>226.52544999999998</v>
      </c>
      <c r="X19" s="197">
        <f t="shared" si="28"/>
        <v>229.82898333333333</v>
      </c>
      <c r="Y19" s="79">
        <f>+X19/W19-1</f>
        <v>1.4583497498110498E-2</v>
      </c>
      <c r="Z19" s="75">
        <f>+POWER(X19/S19,0.2)-1</f>
        <v>-1.4352480357704422E-3</v>
      </c>
    </row>
    <row r="20" spans="1:26" ht="25.5" x14ac:dyDescent="0.25">
      <c r="A20" s="57" t="s">
        <v>15</v>
      </c>
      <c r="B20" s="195">
        <f t="shared" ref="B20:G20" si="29">+B19/B$163</f>
        <v>0.21855000116817716</v>
      </c>
      <c r="C20" s="58">
        <f t="shared" si="29"/>
        <v>0.21366943640525579</v>
      </c>
      <c r="D20" s="58">
        <f t="shared" si="29"/>
        <v>0.2218552097475697</v>
      </c>
      <c r="E20" s="58">
        <f t="shared" si="29"/>
        <v>0.24423578492764775</v>
      </c>
      <c r="F20" s="58">
        <f t="shared" si="29"/>
        <v>0.26598419582131183</v>
      </c>
      <c r="G20" s="58">
        <f t="shared" si="29"/>
        <v>0.29878293091693375</v>
      </c>
      <c r="H20" s="58">
        <f t="shared" ref="H20:I20" si="30">+H19/H$163</f>
        <v>0.32388741650956776</v>
      </c>
      <c r="I20" s="58">
        <f t="shared" si="30"/>
        <v>0.29292474965179438</v>
      </c>
      <c r="J20" s="189">
        <f t="shared" ref="J20" si="31">+J19/J$163</f>
        <v>0.29395819590395189</v>
      </c>
      <c r="K20" s="189"/>
      <c r="L20" s="59"/>
      <c r="M20" s="3"/>
      <c r="N20" s="44" t="s">
        <v>15</v>
      </c>
      <c r="O20" s="239">
        <f t="shared" ref="O20:T20" si="32">+O19/O$163</f>
        <v>0.17600611429697696</v>
      </c>
      <c r="P20" s="48">
        <f t="shared" si="32"/>
        <v>0.21490148446716639</v>
      </c>
      <c r="Q20" s="48">
        <f t="shared" si="32"/>
        <v>0.21727564310707764</v>
      </c>
      <c r="R20" s="48">
        <f t="shared" si="32"/>
        <v>0.23582960780426299</v>
      </c>
      <c r="S20" s="48">
        <f t="shared" si="32"/>
        <v>0.25198853523262049</v>
      </c>
      <c r="T20" s="48">
        <f t="shared" si="32"/>
        <v>0.29172289582362015</v>
      </c>
      <c r="U20" s="58">
        <f t="shared" ref="U20:V20" si="33">+U19/U$163</f>
        <v>0.30981230561947293</v>
      </c>
      <c r="V20" s="58">
        <f t="shared" si="33"/>
        <v>0.30839600154381008</v>
      </c>
      <c r="W20" s="189">
        <f t="shared" ref="W20:X20" si="34">+W19/W$163</f>
        <v>0.29581797056608811</v>
      </c>
      <c r="X20" s="188">
        <f t="shared" si="34"/>
        <v>0.29822509237753309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35">+D19/C19-1</f>
        <v>-2.3232819917574088E-2</v>
      </c>
      <c r="E21" s="62">
        <f t="shared" si="35"/>
        <v>0.16074453173107206</v>
      </c>
      <c r="F21" s="62">
        <f t="shared" si="35"/>
        <v>0.16003737072872926</v>
      </c>
      <c r="G21" s="62">
        <f t="shared" si="35"/>
        <v>-1.616337206057139E-3</v>
      </c>
      <c r="H21" s="62">
        <f t="shared" si="35"/>
        <v>7.0460040110443822E-2</v>
      </c>
      <c r="I21" s="62">
        <f t="shared" ref="I21:J21" si="36">+I19/H19-1</f>
        <v>-0.15280407860552658</v>
      </c>
      <c r="J21" s="190">
        <f t="shared" si="36"/>
        <v>-1.2817661846759476E-2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37">+Q19/P19-1</f>
        <v>-3.5415914179478536E-2</v>
      </c>
      <c r="R21" s="50">
        <f t="shared" si="37"/>
        <v>6.5846542209827552E-2</v>
      </c>
      <c r="S21" s="50">
        <f t="shared" si="37"/>
        <v>0.14857444579238832</v>
      </c>
      <c r="T21" s="50">
        <f t="shared" si="37"/>
        <v>0.11354602971749483</v>
      </c>
      <c r="U21" s="62">
        <f t="shared" si="37"/>
        <v>1.2639352445141805E-2</v>
      </c>
      <c r="V21" s="62">
        <f t="shared" si="37"/>
        <v>-6.7055684541791116E-2</v>
      </c>
      <c r="W21" s="190">
        <f t="shared" si="37"/>
        <v>-6.9803569924126174E-2</v>
      </c>
      <c r="X21" s="187">
        <f t="shared" si="37"/>
        <v>1.4583497498110498E-2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245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246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8">+C24+1</f>
        <v>2018</v>
      </c>
      <c r="E24" s="39">
        <f t="shared" si="38"/>
        <v>2019</v>
      </c>
      <c r="F24" s="39">
        <f t="shared" si="38"/>
        <v>2020</v>
      </c>
      <c r="G24" s="39">
        <f t="shared" si="38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39">+P24+1</f>
        <v>2018</v>
      </c>
      <c r="R24" s="64">
        <f t="shared" si="39"/>
        <v>2019</v>
      </c>
      <c r="S24" s="64">
        <f t="shared" si="39"/>
        <v>2020</v>
      </c>
      <c r="T24" s="64">
        <f t="shared" ref="T24" si="40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 t="shared" ref="L25" si="41">+J25/I25-1</f>
        <v>0.13513646907852528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42">+SUM(C25)+SUM(B26:B36)</f>
        <v>31.973500000000001</v>
      </c>
      <c r="Q25" s="6">
        <f t="shared" si="42"/>
        <v>28.563799999999997</v>
      </c>
      <c r="R25" s="6">
        <f t="shared" si="42"/>
        <v>32.476399999999998</v>
      </c>
      <c r="S25" s="6">
        <f t="shared" si="42"/>
        <v>35.234100000000005</v>
      </c>
      <c r="T25" s="6">
        <f t="shared" si="42"/>
        <v>39.759700000000009</v>
      </c>
      <c r="U25" s="6">
        <f t="shared" si="42"/>
        <v>37.973100000000002</v>
      </c>
      <c r="V25" s="6">
        <f t="shared" si="42"/>
        <v>39.521699999999996</v>
      </c>
      <c r="W25" s="67">
        <f t="shared" si="42"/>
        <v>31.729099999999999</v>
      </c>
      <c r="X25" s="37">
        <f t="shared" si="42"/>
        <v>35.808199999999999</v>
      </c>
      <c r="Y25" s="78">
        <f t="shared" ref="Y25:Y30" si="43">+X25/W25-1</f>
        <v>0.12856021759205283</v>
      </c>
      <c r="Z25" s="7">
        <f t="shared" ref="Z25:Z30" si="44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" si="45">+J26/I26-1</f>
        <v>-5.0395624236631131E-2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46">+SUM(C25:C26)+SUM(B27:B36)</f>
        <v>32.113499999999995</v>
      </c>
      <c r="Q26" s="6">
        <f t="shared" si="46"/>
        <v>28.938600000000001</v>
      </c>
      <c r="R26" s="6">
        <f t="shared" si="46"/>
        <v>32.496799999999993</v>
      </c>
      <c r="S26" s="6">
        <f t="shared" si="46"/>
        <v>35.283299999999997</v>
      </c>
      <c r="T26" s="6">
        <f t="shared" si="46"/>
        <v>39.484000000000002</v>
      </c>
      <c r="U26" s="6">
        <f t="shared" si="46"/>
        <v>38.299300000000002</v>
      </c>
      <c r="V26" s="6">
        <f t="shared" si="46"/>
        <v>39.197699999999998</v>
      </c>
      <c r="W26" s="67">
        <f t="shared" si="46"/>
        <v>31.6342</v>
      </c>
      <c r="X26" s="37">
        <f t="shared" ref="X26" si="47">+SUM(K25:K26)+SUM(J27:J36)</f>
        <v>35.978200000000001</v>
      </c>
      <c r="Y26" s="78">
        <f t="shared" si="43"/>
        <v>0.1373197362348344</v>
      </c>
      <c r="Z26" s="7">
        <f t="shared" si="44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ref="L27" si="48">+J27/I27-1</f>
        <v>-4.9208691669635152E-2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49">+SUM(C25:C27)+SUM(B28:B36)</f>
        <v>31.625299999999999</v>
      </c>
      <c r="Q27" s="6">
        <f t="shared" si="49"/>
        <v>29.344000000000001</v>
      </c>
      <c r="R27" s="6">
        <f t="shared" si="49"/>
        <v>32.506699999999995</v>
      </c>
      <c r="S27" s="6">
        <f t="shared" si="49"/>
        <v>35.547499999999999</v>
      </c>
      <c r="T27" s="6">
        <f t="shared" si="49"/>
        <v>39.434699999999999</v>
      </c>
      <c r="U27" s="6">
        <f t="shared" si="49"/>
        <v>39.1402</v>
      </c>
      <c r="V27" s="6">
        <f t="shared" si="49"/>
        <v>37.566299999999998</v>
      </c>
      <c r="W27" s="67">
        <f t="shared" si="49"/>
        <v>31.537500000000001</v>
      </c>
      <c r="X27" s="67">
        <f t="shared" ref="X27" si="50">+SUM(K25:K27)+SUM(J28:J36)</f>
        <v>36.635599999999997</v>
      </c>
      <c r="Y27" s="78">
        <f t="shared" si="43"/>
        <v>0.16165200158541393</v>
      </c>
      <c r="Z27" s="7">
        <f t="shared" si="44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ref="L28" si="51">+J28/I28-1</f>
        <v>9.4958722708796017E-2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2">+SUM(C25:C28)+SUM(B29:B36)</f>
        <v>30.603400000000001</v>
      </c>
      <c r="Q28" s="6">
        <f t="shared" si="52"/>
        <v>29.360999999999997</v>
      </c>
      <c r="R28" s="6">
        <f t="shared" si="52"/>
        <v>33.712400000000002</v>
      </c>
      <c r="S28" s="6">
        <f t="shared" si="52"/>
        <v>34.615200000000002</v>
      </c>
      <c r="T28" s="6">
        <f t="shared" si="52"/>
        <v>39.763799999999996</v>
      </c>
      <c r="U28" s="6">
        <f t="shared" si="52"/>
        <v>39.015999999999998</v>
      </c>
      <c r="V28" s="6">
        <f t="shared" si="52"/>
        <v>37.245899999999999</v>
      </c>
      <c r="W28" s="67">
        <f t="shared" si="52"/>
        <v>31.764099999999999</v>
      </c>
      <c r="X28" s="37">
        <f t="shared" ref="X28" si="53">+SUM(K25:K28)+SUM(J29:J36)</f>
        <v>37.408000000000001</v>
      </c>
      <c r="Y28" s="78">
        <f t="shared" si="43"/>
        <v>0.177681722447669</v>
      </c>
      <c r="Z28" s="7">
        <f t="shared" si="44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ref="L29" si="54">+J29/I29-1</f>
        <v>0.84432755701264539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55">+SUM(C25:C29)+SUM(B30:B36)</f>
        <v>30.373400000000004</v>
      </c>
      <c r="Q29" s="6">
        <f t="shared" si="55"/>
        <v>29.718800000000002</v>
      </c>
      <c r="R29" s="6">
        <f t="shared" si="55"/>
        <v>34.969200000000001</v>
      </c>
      <c r="S29" s="6">
        <f t="shared" si="55"/>
        <v>34.096699999999998</v>
      </c>
      <c r="T29" s="6">
        <f t="shared" si="55"/>
        <v>38.916699999999992</v>
      </c>
      <c r="U29" s="6">
        <f t="shared" si="55"/>
        <v>39.5304</v>
      </c>
      <c r="V29" s="6">
        <f t="shared" si="55"/>
        <v>37.247100000000003</v>
      </c>
      <c r="W29" s="67">
        <f t="shared" si="55"/>
        <v>34.107699999999994</v>
      </c>
      <c r="X29" s="37">
        <f t="shared" ref="X29" si="56">+SUM(K25:K29)+SUM(J30:J36)</f>
        <v>36.069400000000002</v>
      </c>
      <c r="Y29" s="78">
        <f t="shared" si="43"/>
        <v>5.7514872008373796E-2</v>
      </c>
      <c r="Z29" s="7">
        <f t="shared" si="44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ref="L30" si="57">+J30/I30-1</f>
        <v>-0.11567323768420235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58">+SUM(C25:C30)+SUM(B31:B36)</f>
        <v>29.9114</v>
      </c>
      <c r="Q30" s="6">
        <f t="shared" si="58"/>
        <v>30.176400000000001</v>
      </c>
      <c r="R30" s="6">
        <f t="shared" si="58"/>
        <v>34.860600000000005</v>
      </c>
      <c r="S30" s="6">
        <f t="shared" si="58"/>
        <v>35.108400000000003</v>
      </c>
      <c r="T30" s="6">
        <f t="shared" si="58"/>
        <v>38.602800000000002</v>
      </c>
      <c r="U30" s="6">
        <f t="shared" si="58"/>
        <v>39.660399999999996</v>
      </c>
      <c r="V30" s="6">
        <f t="shared" si="58"/>
        <v>36.757300000000001</v>
      </c>
      <c r="W30" s="67">
        <f t="shared" si="58"/>
        <v>33.810199999999995</v>
      </c>
      <c r="X30" s="37">
        <f t="shared" ref="X30" si="59">+SUM(K25:K30)+SUM(J31:J36)</f>
        <v>37.284599999999998</v>
      </c>
      <c r="Y30" s="78">
        <f t="shared" si="43"/>
        <v>0.10276188842420342</v>
      </c>
      <c r="Z30" s="7">
        <f t="shared" si="44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/>
      <c r="L31" s="7"/>
      <c r="M31" s="2"/>
      <c r="N31" s="42" t="s">
        <v>4</v>
      </c>
      <c r="O31" s="193">
        <f>+'[2]CONSUMO EN ARGENTINA POR COLOR'!E1161*9</f>
        <v>31.851115</v>
      </c>
      <c r="P31" s="6">
        <f t="shared" ref="P31:W31" si="60">+SUM(C25:C31)+SUM(B32:B36)</f>
        <v>29.290199999999999</v>
      </c>
      <c r="Q31" s="6">
        <f t="shared" si="60"/>
        <v>30.846300000000003</v>
      </c>
      <c r="R31" s="6">
        <f t="shared" si="60"/>
        <v>34.856300000000005</v>
      </c>
      <c r="S31" s="6">
        <f t="shared" si="60"/>
        <v>36.132099999999994</v>
      </c>
      <c r="T31" s="6">
        <f t="shared" si="60"/>
        <v>38.617699999999999</v>
      </c>
      <c r="U31" s="6">
        <f t="shared" si="60"/>
        <v>39.688600000000001</v>
      </c>
      <c r="V31" s="6">
        <f t="shared" si="60"/>
        <v>36.169799999999995</v>
      </c>
      <c r="W31" s="67">
        <f t="shared" si="60"/>
        <v>33.813500000000005</v>
      </c>
      <c r="X31" s="37"/>
      <c r="Y31" s="78"/>
      <c r="Z31" s="7"/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/>
      <c r="L32" s="7"/>
      <c r="M32" s="2"/>
      <c r="N32" s="42" t="s">
        <v>5</v>
      </c>
      <c r="O32" s="193">
        <f>+'[2]CONSUMO EN ARGENTINA POR COLOR'!E1162*9</f>
        <v>33.100735</v>
      </c>
      <c r="P32" s="6">
        <f t="shared" ref="P32:W32" si="61">+SUM(C25:C32)+SUM(B33:B36)</f>
        <v>28.245699999999999</v>
      </c>
      <c r="Q32" s="6">
        <f t="shared" si="61"/>
        <v>31.535599999999999</v>
      </c>
      <c r="R32" s="6">
        <f t="shared" si="61"/>
        <v>34.722099999999998</v>
      </c>
      <c r="S32" s="6">
        <f t="shared" si="61"/>
        <v>36.7973</v>
      </c>
      <c r="T32" s="6">
        <f t="shared" si="61"/>
        <v>39.642699999999991</v>
      </c>
      <c r="U32" s="6">
        <f t="shared" si="61"/>
        <v>39.403200000000005</v>
      </c>
      <c r="V32" s="6">
        <f t="shared" si="61"/>
        <v>34.741399999999999</v>
      </c>
      <c r="W32" s="67">
        <f t="shared" si="61"/>
        <v>34.506299999999996</v>
      </c>
      <c r="X32" s="37"/>
      <c r="Y32" s="78"/>
      <c r="Z32" s="7"/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/>
      <c r="L33" s="7"/>
      <c r="M33" s="2"/>
      <c r="N33" s="42" t="s">
        <v>6</v>
      </c>
      <c r="O33" s="193">
        <f>+'[2]CONSUMO EN ARGENTINA POR COLOR'!E1163*9</f>
        <v>32.478102</v>
      </c>
      <c r="P33" s="6">
        <f t="shared" ref="P33:W33" si="62">+SUM(C25:C33)+SUM(B34:B36)</f>
        <v>27.7668</v>
      </c>
      <c r="Q33" s="6">
        <f t="shared" si="62"/>
        <v>31.259900000000002</v>
      </c>
      <c r="R33" s="6">
        <f t="shared" si="62"/>
        <v>34.8399</v>
      </c>
      <c r="S33" s="6">
        <f t="shared" si="62"/>
        <v>37.492100000000001</v>
      </c>
      <c r="T33" s="6">
        <f t="shared" si="62"/>
        <v>40.287799999999997</v>
      </c>
      <c r="U33" s="6">
        <f t="shared" si="62"/>
        <v>40.153300000000002</v>
      </c>
      <c r="V33" s="6">
        <f t="shared" si="62"/>
        <v>33.294499999999999</v>
      </c>
      <c r="W33" s="67">
        <f t="shared" si="62"/>
        <v>34.352600000000002</v>
      </c>
      <c r="X33" s="37"/>
      <c r="Y33" s="78"/>
      <c r="Z33" s="7"/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63">+SUM(C25:C34)+SUM(B35:B36)</f>
        <v>27.252600000000001</v>
      </c>
      <c r="Q34" s="6">
        <f t="shared" si="63"/>
        <v>31.423999999999999</v>
      </c>
      <c r="R34" s="6">
        <f t="shared" si="63"/>
        <v>34.769199999999998</v>
      </c>
      <c r="S34" s="6">
        <f t="shared" si="63"/>
        <v>38.353399999999993</v>
      </c>
      <c r="T34" s="6">
        <f t="shared" si="63"/>
        <v>39.882899999999992</v>
      </c>
      <c r="U34" s="6">
        <f t="shared" si="63"/>
        <v>39.926700000000004</v>
      </c>
      <c r="V34" s="6">
        <f t="shared" si="63"/>
        <v>32.364899999999999</v>
      </c>
      <c r="W34" s="67">
        <f t="shared" si="63"/>
        <v>34.894800000000004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64">+SUM(C25:C35)+SUM(B36)</f>
        <v>26.959700000000002</v>
      </c>
      <c r="Q35" s="6">
        <f t="shared" si="64"/>
        <v>31.8047</v>
      </c>
      <c r="R35" s="6">
        <f t="shared" si="64"/>
        <v>35.367699999999999</v>
      </c>
      <c r="S35" s="6">
        <f t="shared" si="64"/>
        <v>39.640900000000002</v>
      </c>
      <c r="T35" s="6">
        <f t="shared" si="64"/>
        <v>37.819899999999997</v>
      </c>
      <c r="U35" s="6">
        <f t="shared" si="64"/>
        <v>40.679600000000001</v>
      </c>
      <c r="V35" s="6">
        <f t="shared" si="64"/>
        <v>31.200799999999997</v>
      </c>
      <c r="W35" s="67">
        <f t="shared" si="64"/>
        <v>35.569800000000001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65">+SUM(C25:C36)</f>
        <v>27.9239</v>
      </c>
      <c r="Q36" s="6">
        <f t="shared" si="65"/>
        <v>32.0869</v>
      </c>
      <c r="R36" s="6">
        <f t="shared" si="65"/>
        <v>35.248800000000003</v>
      </c>
      <c r="S36" s="6">
        <f t="shared" si="65"/>
        <v>39.857500000000002</v>
      </c>
      <c r="T36" s="6">
        <f t="shared" si="65"/>
        <v>37.680999999999997</v>
      </c>
      <c r="U36" s="6">
        <f t="shared" si="65"/>
        <v>39.996699999999997</v>
      </c>
      <c r="V36" s="6">
        <f t="shared" ref="V36:W36" si="66">+SUM(I25:I36)</f>
        <v>31.455299999999998</v>
      </c>
      <c r="W36" s="67">
        <f t="shared" si="66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7">SUM(G25:G36)</f>
        <v>37.680999999999997</v>
      </c>
      <c r="H37" s="54">
        <f t="shared" si="67"/>
        <v>39.996699999999997</v>
      </c>
      <c r="I37" s="54">
        <f t="shared" ref="I37:J37" si="68">SUM(I25:I36)</f>
        <v>31.455299999999998</v>
      </c>
      <c r="J37" s="186">
        <f t="shared" si="68"/>
        <v>35.4694</v>
      </c>
      <c r="K37" s="186"/>
      <c r="L37" s="56"/>
      <c r="M37" s="3"/>
      <c r="N37" s="43" t="s">
        <v>14</v>
      </c>
      <c r="O37" s="238">
        <f t="shared" ref="O37:X37" si="69">+AVERAGE(O25:O36)</f>
        <v>31.727990916666666</v>
      </c>
      <c r="P37" s="46">
        <f t="shared" si="69"/>
        <v>29.503283333333332</v>
      </c>
      <c r="Q37" s="46">
        <f t="shared" si="69"/>
        <v>30.421666666666667</v>
      </c>
      <c r="R37" s="46">
        <f t="shared" si="69"/>
        <v>34.235508333333335</v>
      </c>
      <c r="S37" s="46">
        <f t="shared" si="69"/>
        <v>36.513208333333331</v>
      </c>
      <c r="T37" s="46">
        <f t="shared" si="69"/>
        <v>39.157808333333335</v>
      </c>
      <c r="U37" s="226">
        <f t="shared" si="69"/>
        <v>39.455624999999998</v>
      </c>
      <c r="V37" s="226">
        <f t="shared" si="69"/>
        <v>35.56355833333334</v>
      </c>
      <c r="W37" s="220">
        <f t="shared" si="69"/>
        <v>33.5991</v>
      </c>
      <c r="X37" s="197">
        <f t="shared" si="69"/>
        <v>36.530666666666662</v>
      </c>
      <c r="Y37" s="79">
        <f>+X37/W37-1</f>
        <v>8.7251345026106764E-2</v>
      </c>
      <c r="Z37" s="75">
        <f>+POWER(X37/S37,0.2)-1</f>
        <v>9.5609211538949523E-5</v>
      </c>
    </row>
    <row r="38" spans="1:26" ht="25.5" x14ac:dyDescent="0.25">
      <c r="A38" s="57" t="s">
        <v>15</v>
      </c>
      <c r="B38" s="195">
        <f t="shared" ref="B38:H38" si="70">+B37/B$163</f>
        <v>3.4222174551154477E-2</v>
      </c>
      <c r="C38" s="58">
        <f t="shared" si="70"/>
        <v>3.1287177746181248E-2</v>
      </c>
      <c r="D38" s="58">
        <f t="shared" si="70"/>
        <v>3.8216793407258032E-2</v>
      </c>
      <c r="E38" s="58">
        <f t="shared" si="70"/>
        <v>3.9817486243860986E-2</v>
      </c>
      <c r="F38" s="58">
        <f t="shared" si="70"/>
        <v>4.2268234966740044E-2</v>
      </c>
      <c r="G38" s="58">
        <f t="shared" si="70"/>
        <v>4.4960275405401338E-2</v>
      </c>
      <c r="H38" s="58">
        <f t="shared" si="70"/>
        <v>4.8327968083509885E-2</v>
      </c>
      <c r="I38" s="58">
        <f t="shared" ref="I38:J38" si="71">+I37/I$163</f>
        <v>4.0573861524169572E-2</v>
      </c>
      <c r="J38" s="189">
        <f t="shared" si="71"/>
        <v>4.6509158553674136E-2</v>
      </c>
      <c r="K38" s="189"/>
      <c r="L38" s="59"/>
      <c r="M38" s="3"/>
      <c r="N38" s="44" t="s">
        <v>15</v>
      </c>
      <c r="O38" s="239">
        <f t="shared" ref="O38:W38" si="72">+O37/O$163</f>
        <v>3.1228513773598941E-2</v>
      </c>
      <c r="P38" s="48">
        <f t="shared" si="72"/>
        <v>3.2342981474339283E-2</v>
      </c>
      <c r="Q38" s="48">
        <f t="shared" si="72"/>
        <v>3.4956202098364149E-2</v>
      </c>
      <c r="R38" s="48">
        <f t="shared" si="72"/>
        <v>4.0059970295098418E-2</v>
      </c>
      <c r="S38" s="48">
        <f t="shared" si="72"/>
        <v>3.9747254997965005E-2</v>
      </c>
      <c r="T38" s="48">
        <f t="shared" si="72"/>
        <v>4.4315645781076989E-2</v>
      </c>
      <c r="U38" s="58">
        <f t="shared" si="72"/>
        <v>4.6829657391380952E-2</v>
      </c>
      <c r="V38" s="58">
        <f t="shared" si="72"/>
        <v>4.5037223965122365E-2</v>
      </c>
      <c r="W38" s="189">
        <f t="shared" si="72"/>
        <v>4.3876825208147924E-2</v>
      </c>
      <c r="X38" s="188">
        <f t="shared" ref="X38" si="73">+X37/X$163</f>
        <v>4.7402034692373217E-2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74">+D37/C37-1</f>
        <v>0.14908375979000077</v>
      </c>
      <c r="E39" s="62">
        <f t="shared" si="74"/>
        <v>9.8541772499057378E-2</v>
      </c>
      <c r="F39" s="62">
        <f t="shared" si="74"/>
        <v>0.13074771339733537</v>
      </c>
      <c r="G39" s="62">
        <f t="shared" si="74"/>
        <v>-5.4607037571347994E-2</v>
      </c>
      <c r="H39" s="62">
        <f t="shared" si="74"/>
        <v>6.1455375388126621E-2</v>
      </c>
      <c r="I39" s="62">
        <f t="shared" si="74"/>
        <v>-0.21355261809099246</v>
      </c>
      <c r="J39" s="190">
        <f t="shared" si="74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75">+Q37/P37-1</f>
        <v>3.1128173869914066E-2</v>
      </c>
      <c r="R39" s="50">
        <f t="shared" si="75"/>
        <v>0.12536596723826232</v>
      </c>
      <c r="S39" s="50">
        <f t="shared" si="75"/>
        <v>6.6530339722816967E-2</v>
      </c>
      <c r="T39" s="50">
        <f t="shared" ref="T39" si="76">+T37/S37-1</f>
        <v>7.2428584633186466E-2</v>
      </c>
      <c r="U39" s="62">
        <f t="shared" ref="U39" si="77">+U37/T37-1</f>
        <v>7.6055499360812018E-3</v>
      </c>
      <c r="V39" s="62">
        <f t="shared" ref="V39" si="78">+V37/U37-1</f>
        <v>-9.8644151921726153E-2</v>
      </c>
      <c r="W39" s="190">
        <f t="shared" ref="W39:X39" si="79">+W37/V37-1</f>
        <v>-5.5237957769036727E-2</v>
      </c>
      <c r="X39" s="187">
        <f t="shared" si="79"/>
        <v>8.7251345026106764E-2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247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248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0">+C42+1</f>
        <v>2018</v>
      </c>
      <c r="E42" s="39">
        <f t="shared" si="80"/>
        <v>2019</v>
      </c>
      <c r="F42" s="39">
        <f t="shared" si="80"/>
        <v>2020</v>
      </c>
      <c r="G42" s="39">
        <f t="shared" si="80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81">+P42+1</f>
        <v>2018</v>
      </c>
      <c r="R42" s="64">
        <f t="shared" si="81"/>
        <v>2019</v>
      </c>
      <c r="S42" s="64">
        <f t="shared" si="81"/>
        <v>2020</v>
      </c>
      <c r="T42" s="64">
        <f t="shared" ref="T42" si="82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 t="shared" ref="L43" si="83">+J43/I43-1</f>
        <v>-0.19011166110279731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84">+SUM(C43)+SUM(B44:B54)</f>
        <v>43.140362000000003</v>
      </c>
      <c r="Q43" s="6">
        <f t="shared" si="84"/>
        <v>37.814999999999998</v>
      </c>
      <c r="R43" s="6">
        <f t="shared" si="84"/>
        <v>30.9497</v>
      </c>
      <c r="S43" s="6">
        <f t="shared" si="84"/>
        <v>27.938499999999998</v>
      </c>
      <c r="T43" s="6">
        <f t="shared" si="84"/>
        <v>24.949400000000001</v>
      </c>
      <c r="U43" s="6">
        <f t="shared" si="84"/>
        <v>31.761900000000001</v>
      </c>
      <c r="V43" s="6">
        <f t="shared" si="84"/>
        <v>36.028799999999997</v>
      </c>
      <c r="W43" s="67">
        <f t="shared" si="84"/>
        <v>31.4314</v>
      </c>
      <c r="X43" s="37">
        <f t="shared" si="84"/>
        <v>24.221600000000002</v>
      </c>
      <c r="Y43" s="78">
        <f t="shared" ref="Y43:Y48" si="85">+X43/W43-1</f>
        <v>-0.22938208288526751</v>
      </c>
      <c r="Z43" s="7">
        <f t="shared" ref="Z43:Z48" si="86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" si="87">+J44/I44-1</f>
        <v>-0.24219201850780792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88">+SUM(C43:C44)+SUM(B45:B54)</f>
        <v>42.358662000000002</v>
      </c>
      <c r="Q44" s="6">
        <f t="shared" si="88"/>
        <v>37.933</v>
      </c>
      <c r="R44" s="6">
        <f t="shared" si="88"/>
        <v>30.678799999999995</v>
      </c>
      <c r="S44" s="6">
        <f t="shared" si="88"/>
        <v>27.749499999999998</v>
      </c>
      <c r="T44" s="6">
        <f t="shared" si="88"/>
        <v>25.303000000000001</v>
      </c>
      <c r="U44" s="6">
        <f t="shared" si="88"/>
        <v>32.237200000000001</v>
      </c>
      <c r="V44" s="6">
        <f t="shared" si="88"/>
        <v>35.324600000000004</v>
      </c>
      <c r="W44" s="67">
        <f t="shared" si="88"/>
        <v>31.096399999999999</v>
      </c>
      <c r="X44" s="37">
        <f t="shared" ref="X44" si="89">+SUM(K43:K44)+SUM(J45:J54)</f>
        <v>24.36</v>
      </c>
      <c r="Y44" s="78">
        <f t="shared" si="85"/>
        <v>-0.21662957770031255</v>
      </c>
      <c r="Z44" s="7">
        <f t="shared" si="86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ref="L45" si="90">+J45/I45-1</f>
        <v>-0.22397279682629645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91">+SUM(C43:C45)+SUM(B46:B54)</f>
        <v>42.154199999999996</v>
      </c>
      <c r="Q45" s="6">
        <f t="shared" si="91"/>
        <v>37.479099999999995</v>
      </c>
      <c r="R45" s="6">
        <f t="shared" si="91"/>
        <v>29.408900000000003</v>
      </c>
      <c r="S45" s="6">
        <f t="shared" si="91"/>
        <v>28.057899999999997</v>
      </c>
      <c r="T45" s="6">
        <f t="shared" si="91"/>
        <v>25.741</v>
      </c>
      <c r="U45" s="6">
        <f t="shared" si="91"/>
        <v>32.689900000000002</v>
      </c>
      <c r="V45" s="6">
        <f t="shared" si="91"/>
        <v>34.8035</v>
      </c>
      <c r="W45" s="67">
        <f t="shared" si="91"/>
        <v>30.7012</v>
      </c>
      <c r="X45" s="67">
        <f t="shared" ref="X45" si="92">+SUM(K43:K45)+SUM(J46:J54)</f>
        <v>23.998599999999996</v>
      </c>
      <c r="Y45" s="78">
        <f t="shared" si="85"/>
        <v>-0.21831719932771365</v>
      </c>
      <c r="Z45" s="7">
        <f t="shared" si="86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ref="L46" si="93">+J46/I46-1</f>
        <v>-0.33625667284017879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94">+SUM(C43:C46)+SUM(B47:B54)</f>
        <v>42.0017</v>
      </c>
      <c r="Q46" s="6">
        <f t="shared" si="94"/>
        <v>37.236199999999997</v>
      </c>
      <c r="R46" s="6">
        <f t="shared" si="94"/>
        <v>28.2057</v>
      </c>
      <c r="S46" s="6">
        <f t="shared" si="94"/>
        <v>27.9818</v>
      </c>
      <c r="T46" s="6">
        <f t="shared" si="94"/>
        <v>26.947400000000002</v>
      </c>
      <c r="U46" s="6">
        <f t="shared" si="94"/>
        <v>32.9664</v>
      </c>
      <c r="V46" s="6">
        <f t="shared" si="94"/>
        <v>34.1646</v>
      </c>
      <c r="W46" s="67">
        <f t="shared" si="94"/>
        <v>30.083899999999996</v>
      </c>
      <c r="X46" s="37">
        <f t="shared" si="94"/>
        <v>24.595399999999998</v>
      </c>
      <c r="Y46" s="78">
        <f t="shared" si="85"/>
        <v>-0.18243977675766765</v>
      </c>
      <c r="Z46" s="7">
        <f t="shared" si="86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ref="L47" si="95">+J47/I47-1</f>
        <v>-0.5130536710119703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96">+SUM(C43:C47)+SUM(B48:B54)</f>
        <v>41.879799999999996</v>
      </c>
      <c r="Q47" s="6">
        <f t="shared" si="96"/>
        <v>36.448900000000002</v>
      </c>
      <c r="R47" s="6">
        <f t="shared" si="96"/>
        <v>27.762500000000003</v>
      </c>
      <c r="S47" s="6">
        <f t="shared" si="96"/>
        <v>27.126099999999997</v>
      </c>
      <c r="T47" s="6">
        <f t="shared" si="96"/>
        <v>28.352399999999999</v>
      </c>
      <c r="U47" s="6">
        <f t="shared" si="96"/>
        <v>33.389800000000001</v>
      </c>
      <c r="V47" s="6">
        <f t="shared" si="96"/>
        <v>34.121299999999998</v>
      </c>
      <c r="W47" s="67">
        <f t="shared" si="96"/>
        <v>28.639499999999998</v>
      </c>
      <c r="X47" s="37">
        <f t="shared" si="96"/>
        <v>24.295400000000001</v>
      </c>
      <c r="Y47" s="78">
        <f t="shared" si="85"/>
        <v>-0.15168211735540071</v>
      </c>
      <c r="Z47" s="7">
        <f t="shared" si="86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ref="L48" si="97">+J48/I48-1</f>
        <v>-0.54770895783859541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98">+SUM(C43:C48)+SUM(B49:B54)</f>
        <v>42.271500000000003</v>
      </c>
      <c r="Q48" s="6">
        <f t="shared" si="98"/>
        <v>35.462899999999998</v>
      </c>
      <c r="R48" s="6">
        <f t="shared" si="98"/>
        <v>27.385100000000001</v>
      </c>
      <c r="S48" s="6">
        <f t="shared" si="98"/>
        <v>27.108699999999999</v>
      </c>
      <c r="T48" s="6">
        <f t="shared" si="98"/>
        <v>28.685400000000001</v>
      </c>
      <c r="U48" s="6">
        <f t="shared" si="98"/>
        <v>33.751600000000003</v>
      </c>
      <c r="V48" s="6">
        <f t="shared" si="98"/>
        <v>33.9084</v>
      </c>
      <c r="W48" s="67">
        <f t="shared" si="98"/>
        <v>27.232599999999998</v>
      </c>
      <c r="X48" s="37">
        <f t="shared" ref="X48" si="99">+SUM(K43:K48)+SUM(J49:J54)</f>
        <v>24.226199999999999</v>
      </c>
      <c r="Y48" s="78">
        <f t="shared" si="85"/>
        <v>-0.11039709759626326</v>
      </c>
      <c r="Z48" s="7">
        <f t="shared" si="86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/>
      <c r="L49" s="7"/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00">+SUM(C43:C49)+SUM(B50:B54)</f>
        <v>42.3994</v>
      </c>
      <c r="Q49" s="6">
        <f t="shared" si="100"/>
        <v>34.469000000000001</v>
      </c>
      <c r="R49" s="6">
        <f t="shared" si="100"/>
        <v>27.252199999999998</v>
      </c>
      <c r="S49" s="6">
        <f t="shared" si="100"/>
        <v>27.018899999999995</v>
      </c>
      <c r="T49" s="6">
        <f t="shared" si="100"/>
        <v>29.356000000000002</v>
      </c>
      <c r="U49" s="6">
        <f t="shared" si="100"/>
        <v>33.442599999999999</v>
      </c>
      <c r="V49" s="6">
        <f t="shared" si="100"/>
        <v>33.831699999999998</v>
      </c>
      <c r="W49" s="67">
        <f t="shared" si="100"/>
        <v>26.504800000000003</v>
      </c>
      <c r="X49" s="37"/>
      <c r="Y49" s="78"/>
      <c r="Z49" s="7"/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/>
      <c r="L50" s="7"/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01">+SUM(C43:C50)+SUM(B51:B54)</f>
        <v>41.507399999999997</v>
      </c>
      <c r="Q50" s="6">
        <f t="shared" si="101"/>
        <v>34.3294</v>
      </c>
      <c r="R50" s="6">
        <f t="shared" si="101"/>
        <v>26.64</v>
      </c>
      <c r="S50" s="6">
        <f t="shared" si="101"/>
        <v>27.024900000000002</v>
      </c>
      <c r="T50" s="6">
        <f t="shared" si="101"/>
        <v>29.615900000000003</v>
      </c>
      <c r="U50" s="6">
        <f t="shared" si="101"/>
        <v>35.164900000000003</v>
      </c>
      <c r="V50" s="6">
        <f t="shared" si="101"/>
        <v>32.988600000000005</v>
      </c>
      <c r="W50" s="67">
        <f t="shared" si="101"/>
        <v>25.081499999999998</v>
      </c>
      <c r="X50" s="37"/>
      <c r="Y50" s="78"/>
      <c r="Z50" s="7"/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/>
      <c r="L51" s="7"/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02">+SUM(C43:C51)+SUM(B52:B54)</f>
        <v>40.406300000000002</v>
      </c>
      <c r="Q51" s="6">
        <f t="shared" si="102"/>
        <v>33.084400000000002</v>
      </c>
      <c r="R51" s="6">
        <f t="shared" si="102"/>
        <v>26.801200000000001</v>
      </c>
      <c r="S51" s="6">
        <f t="shared" si="102"/>
        <v>26.893699999999999</v>
      </c>
      <c r="T51" s="6">
        <f t="shared" si="102"/>
        <v>29.5764</v>
      </c>
      <c r="U51" s="6">
        <f t="shared" si="102"/>
        <v>36.673300000000005</v>
      </c>
      <c r="V51" s="6">
        <f t="shared" si="102"/>
        <v>32.137600000000006</v>
      </c>
      <c r="W51" s="67">
        <f t="shared" si="102"/>
        <v>24.660199999999996</v>
      </c>
      <c r="X51" s="37"/>
      <c r="Y51" s="78"/>
      <c r="Z51" s="7"/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03">+SUM(C43:C52)+SUM(B53:B54)</f>
        <v>39.699399999999997</v>
      </c>
      <c r="Q52" s="6">
        <f t="shared" si="103"/>
        <v>32.552700000000002</v>
      </c>
      <c r="R52" s="6">
        <f t="shared" si="103"/>
        <v>26.7318</v>
      </c>
      <c r="S52" s="6">
        <f t="shared" si="103"/>
        <v>26.015799999999999</v>
      </c>
      <c r="T52" s="6">
        <f t="shared" si="103"/>
        <v>29.564200000000003</v>
      </c>
      <c r="U52" s="6">
        <f t="shared" si="103"/>
        <v>37.88000000000001</v>
      </c>
      <c r="V52" s="6">
        <f t="shared" si="103"/>
        <v>32.312200000000004</v>
      </c>
      <c r="W52" s="67">
        <f t="shared" si="103"/>
        <v>24.192900000000002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04">+SUM(C43:C53)+SUM(B54)</f>
        <v>39.317999999999998</v>
      </c>
      <c r="Q53" s="6">
        <f t="shared" si="104"/>
        <v>31.293799999999997</v>
      </c>
      <c r="R53" s="6">
        <f t="shared" si="104"/>
        <v>27.416699999999999</v>
      </c>
      <c r="S53" s="6">
        <f t="shared" si="104"/>
        <v>25.599299999999999</v>
      </c>
      <c r="T53" s="6">
        <f t="shared" si="104"/>
        <v>30.319900000000004</v>
      </c>
      <c r="U53" s="6">
        <f t="shared" si="104"/>
        <v>37.126500000000007</v>
      </c>
      <c r="V53" s="6">
        <f t="shared" si="104"/>
        <v>32.095600000000005</v>
      </c>
      <c r="W53" s="67">
        <f t="shared" si="104"/>
        <v>24.6751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05">+SUM(C43:C54)</f>
        <v>38.157799999999995</v>
      </c>
      <c r="Q54" s="6">
        <f t="shared" si="105"/>
        <v>30.912999999999997</v>
      </c>
      <c r="R54" s="6">
        <f t="shared" si="105"/>
        <v>28.068799999999996</v>
      </c>
      <c r="S54" s="6">
        <f t="shared" si="105"/>
        <v>25.016200000000001</v>
      </c>
      <c r="T54" s="6">
        <f t="shared" si="105"/>
        <v>31.789900000000003</v>
      </c>
      <c r="U54" s="6">
        <f t="shared" si="105"/>
        <v>35.881400000000006</v>
      </c>
      <c r="V54" s="6">
        <f t="shared" ref="V54:W54" si="106">+SUM(I43:I54)</f>
        <v>31.761700000000001</v>
      </c>
      <c r="W54" s="67">
        <f t="shared" si="106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07">SUM(C43:C54)</f>
        <v>38.157799999999995</v>
      </c>
      <c r="D55" s="54">
        <f t="shared" si="107"/>
        <v>30.912999999999997</v>
      </c>
      <c r="E55" s="54">
        <f t="shared" si="107"/>
        <v>28.068799999999996</v>
      </c>
      <c r="F55" s="54">
        <f t="shared" si="107"/>
        <v>25.016200000000001</v>
      </c>
      <c r="G55" s="54">
        <f t="shared" si="107"/>
        <v>31.789900000000003</v>
      </c>
      <c r="H55" s="54">
        <f t="shared" si="107"/>
        <v>35.881400000000006</v>
      </c>
      <c r="I55" s="54">
        <f t="shared" ref="I55:J55" si="108">SUM(I43:I54)</f>
        <v>31.761700000000001</v>
      </c>
      <c r="J55" s="186">
        <f t="shared" si="108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09">+AVERAGE(Q43:Q54)</f>
        <v>34.91811666666667</v>
      </c>
      <c r="R55" s="46">
        <f t="shared" si="109"/>
        <v>28.108450000000001</v>
      </c>
      <c r="S55" s="46">
        <f t="shared" si="109"/>
        <v>26.960941666666667</v>
      </c>
      <c r="T55" s="46">
        <f t="shared" si="109"/>
        <v>28.350075000000004</v>
      </c>
      <c r="U55" s="226">
        <f t="shared" si="109"/>
        <v>34.413791666666661</v>
      </c>
      <c r="V55" s="226">
        <f t="shared" si="109"/>
        <v>33.623216666666671</v>
      </c>
      <c r="W55" s="220">
        <f t="shared" si="109"/>
        <v>27.394558333333332</v>
      </c>
      <c r="X55" s="197">
        <f t="shared" si="109"/>
        <v>24.282866666666663</v>
      </c>
      <c r="Y55" s="79">
        <f>+X55/W55-1</f>
        <v>-0.11358794797141902</v>
      </c>
      <c r="Z55" s="75">
        <f>+POWER(X55/S55,0.2)-1</f>
        <v>-2.0706256968210823E-2</v>
      </c>
    </row>
    <row r="56" spans="1:26" ht="25.5" x14ac:dyDescent="0.25">
      <c r="A56" s="57" t="s">
        <v>15</v>
      </c>
      <c r="B56" s="195">
        <f t="shared" ref="B56:H56" si="110">+B55/B$163</f>
        <v>4.6230251965192572E-2</v>
      </c>
      <c r="C56" s="58">
        <f t="shared" si="110"/>
        <v>4.2753693825118795E-2</v>
      </c>
      <c r="D56" s="58">
        <f t="shared" si="110"/>
        <v>3.6818631111094166E-2</v>
      </c>
      <c r="E56" s="58">
        <f t="shared" si="110"/>
        <v>3.1706868258825405E-2</v>
      </c>
      <c r="F56" s="58">
        <f t="shared" si="110"/>
        <v>2.6529276035249634E-2</v>
      </c>
      <c r="G56" s="58">
        <f t="shared" si="110"/>
        <v>3.7931123354214807E-2</v>
      </c>
      <c r="H56" s="58">
        <f t="shared" si="110"/>
        <v>4.3355455674884476E-2</v>
      </c>
      <c r="I56" s="58">
        <f t="shared" ref="I56:J56" si="111">+I55/I$163</f>
        <v>4.0969083670230985E-2</v>
      </c>
      <c r="J56" s="189">
        <f t="shared" si="111"/>
        <v>3.2040592485092459E-2</v>
      </c>
      <c r="K56" s="189"/>
      <c r="L56" s="59"/>
      <c r="M56" s="3"/>
      <c r="N56" s="44" t="s">
        <v>15</v>
      </c>
      <c r="O56" s="239">
        <f t="shared" ref="O56:W56" si="112">+O55/O$163</f>
        <v>4.3234623040035704E-2</v>
      </c>
      <c r="P56" s="48">
        <f t="shared" si="112"/>
        <v>4.5247228455572157E-2</v>
      </c>
      <c r="Q56" s="48">
        <f t="shared" si="112"/>
        <v>4.0122875464666329E-2</v>
      </c>
      <c r="R56" s="48">
        <f t="shared" si="112"/>
        <v>3.2890520014417557E-2</v>
      </c>
      <c r="S56" s="48">
        <f t="shared" si="112"/>
        <v>2.9348925288276085E-2</v>
      </c>
      <c r="T56" s="48">
        <f t="shared" si="112"/>
        <v>3.2084325835404041E-2</v>
      </c>
      <c r="U56" s="58">
        <f t="shared" si="112"/>
        <v>4.084553402178677E-2</v>
      </c>
      <c r="V56" s="58">
        <f t="shared" si="112"/>
        <v>4.2580000720152014E-2</v>
      </c>
      <c r="W56" s="189">
        <f t="shared" si="112"/>
        <v>3.5774358469306579E-2</v>
      </c>
      <c r="X56" s="188">
        <f t="shared" ref="X56" si="113">+X55/X$163</f>
        <v>3.1509342511230928E-2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14">+D55/C55-1</f>
        <v>-0.18986419552489919</v>
      </c>
      <c r="E57" s="62">
        <f t="shared" si="114"/>
        <v>-9.2006599165399661E-2</v>
      </c>
      <c r="F57" s="62">
        <f t="shared" si="114"/>
        <v>-0.10875420395599367</v>
      </c>
      <c r="G57" s="62">
        <f t="shared" si="114"/>
        <v>0.27077253939447243</v>
      </c>
      <c r="H57" s="62">
        <f t="shared" si="114"/>
        <v>0.12870439982510185</v>
      </c>
      <c r="I57" s="62">
        <f t="shared" si="114"/>
        <v>-0.11481436064367623</v>
      </c>
      <c r="J57" s="190">
        <f t="shared" si="114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15">+Q55/P55-1</f>
        <v>-0.15400356818804639</v>
      </c>
      <c r="R57" s="50">
        <f t="shared" si="115"/>
        <v>-0.19501815437736003</v>
      </c>
      <c r="S57" s="50">
        <f t="shared" si="115"/>
        <v>-4.0824319140092546E-2</v>
      </c>
      <c r="T57" s="50">
        <f t="shared" ref="T57" si="116">+T55/S55-1</f>
        <v>5.1523917469499914E-2</v>
      </c>
      <c r="U57" s="62">
        <f t="shared" ref="U57" si="117">+U55/T55-1</f>
        <v>0.21388714727092095</v>
      </c>
      <c r="V57" s="62">
        <f t="shared" ref="V57" si="118">+V55/U55-1</f>
        <v>-2.2972621199591425E-2</v>
      </c>
      <c r="W57" s="190">
        <f t="shared" ref="W57:X57" si="119">+W55/V55-1</f>
        <v>-0.18524873438145184</v>
      </c>
      <c r="X57" s="187">
        <f t="shared" si="119"/>
        <v>-0.11358794797141902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249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250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0">+C60+1</f>
        <v>2018</v>
      </c>
      <c r="E60" s="39">
        <f t="shared" si="120"/>
        <v>2019</v>
      </c>
      <c r="F60" s="39">
        <f t="shared" si="120"/>
        <v>2020</v>
      </c>
      <c r="G60" s="39">
        <f t="shared" si="120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21">+P60+1</f>
        <v>2018</v>
      </c>
      <c r="R60" s="64">
        <f t="shared" si="121"/>
        <v>2019</v>
      </c>
      <c r="S60" s="64">
        <f t="shared" si="121"/>
        <v>2020</v>
      </c>
      <c r="T60" s="64">
        <f t="shared" ref="T60" si="122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 t="shared" ref="L61" si="123">+J61/I61-1</f>
        <v>-3.0042918454935563E-2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24">+SUM(C61)+SUM(B62:B72)</f>
        <v>234.17456199999995</v>
      </c>
      <c r="Q61" s="6">
        <f t="shared" si="124"/>
        <v>236.74299999999997</v>
      </c>
      <c r="R61" s="6">
        <f t="shared" si="124"/>
        <v>208.25040000000004</v>
      </c>
      <c r="S61" s="6">
        <f t="shared" si="124"/>
        <v>209.70920000000001</v>
      </c>
      <c r="T61" s="6">
        <f t="shared" si="124"/>
        <v>206.87150000000003</v>
      </c>
      <c r="U61" s="6">
        <f t="shared" si="124"/>
        <v>217.61579999999998</v>
      </c>
      <c r="V61" s="6">
        <f t="shared" si="124"/>
        <v>228.99469999999999</v>
      </c>
      <c r="W61" s="67">
        <f t="shared" si="124"/>
        <v>212.23920000000001</v>
      </c>
      <c r="X61" s="37">
        <f t="shared" si="124"/>
        <v>201.55430000000001</v>
      </c>
      <c r="Y61" s="78">
        <f t="shared" ref="Y61:Y66" si="125">+X61/W61-1</f>
        <v>-5.0343668841571154E-2</v>
      </c>
      <c r="Z61" s="7">
        <f t="shared" ref="Z61:Z66" si="126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" si="127">+J62/I62-1</f>
        <v>-8.000083646426559E-2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28">+SUM(C61:C62)+SUM(B63:B72)</f>
        <v>230.53656199999998</v>
      </c>
      <c r="Q62" s="6">
        <f t="shared" si="128"/>
        <v>238.35649999999998</v>
      </c>
      <c r="R62" s="6">
        <f t="shared" si="128"/>
        <v>207.84380000000002</v>
      </c>
      <c r="S62" s="6">
        <f t="shared" si="128"/>
        <v>208.81670000000003</v>
      </c>
      <c r="T62" s="6">
        <f t="shared" si="128"/>
        <v>209.02760000000004</v>
      </c>
      <c r="U62" s="6">
        <f t="shared" si="128"/>
        <v>220.01149999999998</v>
      </c>
      <c r="V62" s="6">
        <f t="shared" si="128"/>
        <v>224.91069999999999</v>
      </c>
      <c r="W62" s="67">
        <f t="shared" si="128"/>
        <v>211.0915</v>
      </c>
      <c r="X62" s="37">
        <f t="shared" ref="X62" si="129">+SUM(K61:K62)+SUM(J63:J72)</f>
        <v>203.01790000000003</v>
      </c>
      <c r="Y62" s="78">
        <f t="shared" si="125"/>
        <v>-3.8246921358747188E-2</v>
      </c>
      <c r="Z62" s="7">
        <f t="shared" si="126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ref="L63" si="130">+J63/I63-1</f>
        <v>8.2984603237268084E-2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31">+SUM(C61:C63)+SUM(B64:B72)</f>
        <v>230.34799999999998</v>
      </c>
      <c r="Q63" s="6">
        <f t="shared" si="131"/>
        <v>238.47719999999998</v>
      </c>
      <c r="R63" s="6">
        <f t="shared" si="131"/>
        <v>204.16480000000001</v>
      </c>
      <c r="S63" s="6">
        <f t="shared" si="131"/>
        <v>206.78250000000003</v>
      </c>
      <c r="T63" s="6">
        <f t="shared" si="131"/>
        <v>209.2996</v>
      </c>
      <c r="U63" s="6">
        <f t="shared" si="131"/>
        <v>227.99459999999999</v>
      </c>
      <c r="V63" s="6">
        <f t="shared" si="131"/>
        <v>219.24639999999999</v>
      </c>
      <c r="W63" s="67">
        <f t="shared" si="131"/>
        <v>212.45779999999999</v>
      </c>
      <c r="X63" s="67">
        <f t="shared" ref="X63" si="132">+SUM(K61:K63)+SUM(J64:J72)</f>
        <v>198.47580000000002</v>
      </c>
      <c r="Y63" s="78">
        <f t="shared" si="125"/>
        <v>-6.5810716292835414E-2</v>
      </c>
      <c r="Z63" s="7">
        <f t="shared" si="126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ref="L64" si="133">+J64/I64-1</f>
        <v>-0.13288970452929094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34">+SUM(C61:C64)+SUM(B65:B72)</f>
        <v>229.52229999999997</v>
      </c>
      <c r="Q64" s="6">
        <f t="shared" si="134"/>
        <v>235.52080000000001</v>
      </c>
      <c r="R64" s="6">
        <f t="shared" si="134"/>
        <v>202.87549999999999</v>
      </c>
      <c r="S64" s="6">
        <f t="shared" si="134"/>
        <v>205.42309999999998</v>
      </c>
      <c r="T64" s="6">
        <f t="shared" si="134"/>
        <v>213.66640000000001</v>
      </c>
      <c r="U64" s="6">
        <f t="shared" si="134"/>
        <v>228.57839999999999</v>
      </c>
      <c r="V64" s="6">
        <f t="shared" si="134"/>
        <v>219.94499999999999</v>
      </c>
      <c r="W64" s="67">
        <f t="shared" si="134"/>
        <v>209.78580000000002</v>
      </c>
      <c r="X64" s="37">
        <f t="shared" ref="X64" si="135">+SUM(K61:K64)+SUM(J65:J72)</f>
        <v>196.6849</v>
      </c>
      <c r="Y64" s="78">
        <f t="shared" si="125"/>
        <v>-6.244893600996837E-2</v>
      </c>
      <c r="Z64" s="7">
        <f t="shared" si="126"/>
        <v>-8.6560783190569035E-3</v>
      </c>
    </row>
    <row r="65" spans="1:26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ref="L65" si="136">+J65/I65-1</f>
        <v>-5.0341078500760528E-2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37">+SUM(C61:C65)+SUM(B66:B72)</f>
        <v>234.3587</v>
      </c>
      <c r="Q65" s="6">
        <f t="shared" si="137"/>
        <v>226.87379999999999</v>
      </c>
      <c r="R65" s="6">
        <f t="shared" si="137"/>
        <v>207.06640000000002</v>
      </c>
      <c r="S65" s="6">
        <f t="shared" si="137"/>
        <v>200.65439999999998</v>
      </c>
      <c r="T65" s="6">
        <f t="shared" si="137"/>
        <v>215.1028</v>
      </c>
      <c r="U65" s="6">
        <f t="shared" si="137"/>
        <v>231.29849999999999</v>
      </c>
      <c r="V65" s="6">
        <f t="shared" si="137"/>
        <v>220.82330000000002</v>
      </c>
      <c r="W65" s="67">
        <f t="shared" si="137"/>
        <v>208.78289999999998</v>
      </c>
      <c r="X65" s="37">
        <f t="shared" ref="X65" si="138">+SUM(K61:K65)+SUM(J66:J72)</f>
        <v>190.69460000000001</v>
      </c>
      <c r="Y65" s="78">
        <f t="shared" si="125"/>
        <v>-8.6636884534125991E-2</v>
      </c>
      <c r="Z65" s="7">
        <f t="shared" si="126"/>
        <v>-1.0130503188570672E-2</v>
      </c>
    </row>
    <row r="66" spans="1:26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ref="L66" si="139">+J66/I66-1</f>
        <v>-4.2209710368783515E-3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40">+SUM(C61:C66)+SUM(B67:B72)</f>
        <v>236.34139999999999</v>
      </c>
      <c r="Q66" s="6">
        <f t="shared" si="140"/>
        <v>225.40640000000002</v>
      </c>
      <c r="R66" s="6">
        <f t="shared" si="140"/>
        <v>205.52390000000003</v>
      </c>
      <c r="S66" s="6">
        <f t="shared" si="140"/>
        <v>201.59649999999999</v>
      </c>
      <c r="T66" s="6">
        <f t="shared" si="140"/>
        <v>215.13139999999999</v>
      </c>
      <c r="U66" s="6">
        <f t="shared" si="140"/>
        <v>230.63239999999999</v>
      </c>
      <c r="V66" s="6">
        <f t="shared" si="140"/>
        <v>218.54050000000001</v>
      </c>
      <c r="W66" s="67">
        <f t="shared" si="140"/>
        <v>208.72360000000003</v>
      </c>
      <c r="X66" s="37">
        <f t="shared" ref="X66" si="141">+SUM(K61:K66)+SUM(J67:J72)</f>
        <v>191.5231</v>
      </c>
      <c r="Y66" s="78">
        <f t="shared" si="125"/>
        <v>-8.2408026691759062E-2</v>
      </c>
      <c r="Z66" s="7">
        <f t="shared" si="126"/>
        <v>-1.0199577283230954E-2</v>
      </c>
    </row>
    <row r="67" spans="1:26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/>
      <c r="L67" s="7"/>
      <c r="M67" s="2"/>
      <c r="N67" s="42" t="s">
        <v>4</v>
      </c>
      <c r="O67" s="193">
        <f>+'[2]CONSUMO EN ARGENTINA POR COLOR'!K1161*9</f>
        <v>241.269519</v>
      </c>
      <c r="P67" s="6">
        <f t="shared" ref="P67:W67" si="142">+SUM(C61:C67)+SUM(B68:B72)</f>
        <v>238.13329999999999</v>
      </c>
      <c r="Q67" s="6">
        <f t="shared" si="142"/>
        <v>223.85580000000002</v>
      </c>
      <c r="R67" s="6">
        <f t="shared" si="142"/>
        <v>205.32010000000002</v>
      </c>
      <c r="S67" s="6">
        <f t="shared" si="142"/>
        <v>200.6095</v>
      </c>
      <c r="T67" s="6">
        <f t="shared" si="142"/>
        <v>216.92859999999999</v>
      </c>
      <c r="U67" s="6">
        <f t="shared" si="142"/>
        <v>229.91510000000002</v>
      </c>
      <c r="V67" s="6">
        <f t="shared" si="142"/>
        <v>214.2183</v>
      </c>
      <c r="W67" s="67">
        <f t="shared" si="142"/>
        <v>210.61330000000001</v>
      </c>
      <c r="X67" s="37"/>
      <c r="Y67" s="78"/>
      <c r="Z67" s="7"/>
    </row>
    <row r="68" spans="1:26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/>
      <c r="L68" s="7"/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43">+SUM(C61:C68)+SUM(B69:B72)</f>
        <v>237.9967</v>
      </c>
      <c r="Q68" s="6">
        <f t="shared" si="143"/>
        <v>221.35760000000002</v>
      </c>
      <c r="R68" s="6">
        <f t="shared" si="143"/>
        <v>205.7277</v>
      </c>
      <c r="S68" s="6">
        <f t="shared" si="143"/>
        <v>198.01579999999998</v>
      </c>
      <c r="T68" s="6">
        <f t="shared" si="143"/>
        <v>218.42060000000001</v>
      </c>
      <c r="U68" s="6">
        <f t="shared" si="143"/>
        <v>233.98250000000002</v>
      </c>
      <c r="V68" s="6">
        <f t="shared" si="143"/>
        <v>209.06790000000001</v>
      </c>
      <c r="W68" s="67">
        <f t="shared" si="143"/>
        <v>214.1138</v>
      </c>
      <c r="X68" s="37"/>
      <c r="Y68" s="78"/>
      <c r="Z68" s="7"/>
    </row>
    <row r="69" spans="1:26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/>
      <c r="L69" s="7"/>
      <c r="M69" s="2"/>
      <c r="N69" s="42" t="s">
        <v>6</v>
      </c>
      <c r="O69" s="193">
        <f>+'[2]CONSUMO EN ARGENTINA POR COLOR'!K1163*9</f>
        <v>241.561735</v>
      </c>
      <c r="P69" s="6">
        <f t="shared" ref="P69:W69" si="144">+SUM(C61:C69)+SUM(B70:B72)</f>
        <v>240.1721</v>
      </c>
      <c r="Q69" s="6">
        <f t="shared" si="144"/>
        <v>214.53390000000002</v>
      </c>
      <c r="R69" s="6">
        <f t="shared" si="144"/>
        <v>205.90469999999999</v>
      </c>
      <c r="S69" s="6">
        <f t="shared" si="144"/>
        <v>201.14159999999998</v>
      </c>
      <c r="T69" s="6">
        <f t="shared" si="144"/>
        <v>214.54480000000001</v>
      </c>
      <c r="U69" s="6">
        <f t="shared" si="144"/>
        <v>238.74900000000002</v>
      </c>
      <c r="V69" s="6">
        <f t="shared" si="144"/>
        <v>206.68959999999998</v>
      </c>
      <c r="W69" s="67">
        <f t="shared" si="144"/>
        <v>211.75900000000001</v>
      </c>
      <c r="X69" s="37"/>
      <c r="Y69" s="78"/>
      <c r="Z69" s="7"/>
    </row>
    <row r="70" spans="1:26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45">+SUM(C61:C70)+SUM(B71:B72)</f>
        <v>239.58229999999998</v>
      </c>
      <c r="Q70" s="6">
        <f t="shared" si="145"/>
        <v>210.45410000000004</v>
      </c>
      <c r="R70" s="6">
        <f t="shared" si="145"/>
        <v>207.06399999999999</v>
      </c>
      <c r="S70" s="6">
        <f t="shared" si="145"/>
        <v>202.3552</v>
      </c>
      <c r="T70" s="6">
        <f t="shared" si="145"/>
        <v>212.08440000000002</v>
      </c>
      <c r="U70" s="6">
        <f t="shared" si="145"/>
        <v>241.45370000000003</v>
      </c>
      <c r="V70" s="6">
        <f t="shared" si="145"/>
        <v>209.10469999999998</v>
      </c>
      <c r="W70" s="67">
        <f t="shared" si="145"/>
        <v>207.23560000000001</v>
      </c>
      <c r="X70" s="37"/>
      <c r="Y70" s="78"/>
      <c r="Z70" s="7"/>
    </row>
    <row r="71" spans="1:26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46">+SUM(C61:C71)+SUM(B72)</f>
        <v>237.17839999999998</v>
      </c>
      <c r="Q71" s="6">
        <f t="shared" si="146"/>
        <v>209.01200000000003</v>
      </c>
      <c r="R71" s="6">
        <f t="shared" si="146"/>
        <v>208.72159999999997</v>
      </c>
      <c r="S71" s="6">
        <f t="shared" si="146"/>
        <v>202.25830000000002</v>
      </c>
      <c r="T71" s="6">
        <f t="shared" si="146"/>
        <v>216.96250000000001</v>
      </c>
      <c r="U71" s="6">
        <f t="shared" si="146"/>
        <v>232.71350000000004</v>
      </c>
      <c r="V71" s="6">
        <f t="shared" si="146"/>
        <v>213.78169999999997</v>
      </c>
      <c r="W71" s="67">
        <f t="shared" si="146"/>
        <v>206.13990000000001</v>
      </c>
      <c r="X71" s="37"/>
      <c r="Y71" s="78"/>
      <c r="Z71" s="7"/>
    </row>
    <row r="72" spans="1:26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47">+SUM(C61:C72)</f>
        <v>235.38399999999999</v>
      </c>
      <c r="Q72" s="6">
        <f t="shared" si="147"/>
        <v>209.53330000000003</v>
      </c>
      <c r="R72" s="6">
        <f t="shared" si="147"/>
        <v>209.07989999999998</v>
      </c>
      <c r="S72" s="6">
        <f t="shared" si="147"/>
        <v>204.36700000000002</v>
      </c>
      <c r="T72" s="6">
        <f t="shared" si="147"/>
        <v>218.00280000000001</v>
      </c>
      <c r="U72" s="6">
        <f t="shared" si="147"/>
        <v>231.00080000000003</v>
      </c>
      <c r="V72" s="6">
        <f t="shared" ref="V72:W72" si="148">+SUM(I61:I72)</f>
        <v>212.72429999999997</v>
      </c>
      <c r="W72" s="67">
        <f t="shared" si="148"/>
        <v>203.57870000000003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233.44496199999998</v>
      </c>
      <c r="C73" s="54">
        <f t="shared" ref="C73:H73" si="149">SUM(C61:C72)</f>
        <v>235.38399999999999</v>
      </c>
      <c r="D73" s="54">
        <f t="shared" si="149"/>
        <v>209.53330000000003</v>
      </c>
      <c r="E73" s="54">
        <f t="shared" si="149"/>
        <v>209.07989999999998</v>
      </c>
      <c r="F73" s="54">
        <f t="shared" si="149"/>
        <v>204.36700000000002</v>
      </c>
      <c r="G73" s="54">
        <f t="shared" si="149"/>
        <v>218.00280000000001</v>
      </c>
      <c r="H73" s="54">
        <f t="shared" si="149"/>
        <v>231.00080000000003</v>
      </c>
      <c r="I73" s="54">
        <f t="shared" ref="I73:J73" si="150">SUM(I61:I72)</f>
        <v>212.72429999999997</v>
      </c>
      <c r="J73" s="186">
        <f t="shared" si="150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51">+AVERAGE(Q61:Q72)</f>
        <v>224.17703333333336</v>
      </c>
      <c r="R73" s="46">
        <f t="shared" si="151"/>
        <v>206.46189999999999</v>
      </c>
      <c r="S73" s="46">
        <f t="shared" si="151"/>
        <v>203.47748333333334</v>
      </c>
      <c r="T73" s="46">
        <f t="shared" si="151"/>
        <v>213.83691666666672</v>
      </c>
      <c r="U73" s="226">
        <f t="shared" si="151"/>
        <v>230.32881666666663</v>
      </c>
      <c r="V73" s="226">
        <f t="shared" si="151"/>
        <v>216.50392499999998</v>
      </c>
      <c r="W73" s="220">
        <f t="shared" si="151"/>
        <v>209.7100916666667</v>
      </c>
      <c r="X73" s="197">
        <f t="shared" si="151"/>
        <v>196.99176666666668</v>
      </c>
      <c r="Y73" s="79">
        <f>+X73/W73-1</f>
        <v>-6.0647176771138622E-2</v>
      </c>
      <c r="Z73" s="75">
        <f>+POWER(X73/S73,0.2)-1</f>
        <v>-6.4577420699517551E-3</v>
      </c>
    </row>
    <row r="74" spans="1:26" ht="25.5" x14ac:dyDescent="0.25">
      <c r="A74" s="57" t="s">
        <v>15</v>
      </c>
      <c r="B74" s="195">
        <f t="shared" ref="B74:H74" si="152">+B73/B$163</f>
        <v>0.24791370144365457</v>
      </c>
      <c r="C74" s="58">
        <f t="shared" si="152"/>
        <v>0.26373468772653985</v>
      </c>
      <c r="D74" s="58">
        <f t="shared" si="152"/>
        <v>0.24956262019830586</v>
      </c>
      <c r="E74" s="58">
        <f t="shared" si="152"/>
        <v>0.23617927538293018</v>
      </c>
      <c r="F74" s="58">
        <f t="shared" si="152"/>
        <v>0.21672790253898921</v>
      </c>
      <c r="G74" s="58">
        <f t="shared" si="152"/>
        <v>0.26011692702286637</v>
      </c>
      <c r="H74" s="58">
        <f t="shared" si="152"/>
        <v>0.27911800947741322</v>
      </c>
      <c r="I74" s="58">
        <f t="shared" ref="I74:J74" si="153">+I73/I$163</f>
        <v>0.27439084322915069</v>
      </c>
      <c r="J74" s="189">
        <f t="shared" si="153"/>
        <v>0.26694204120878456</v>
      </c>
      <c r="K74" s="189"/>
      <c r="L74" s="59"/>
      <c r="M74" s="3"/>
      <c r="N74" s="44" t="s">
        <v>15</v>
      </c>
      <c r="O74" s="239">
        <f t="shared" ref="O74:W74" si="154">+O73/O$163</f>
        <v>0.23547558881083436</v>
      </c>
      <c r="P74" s="48">
        <f t="shared" si="154"/>
        <v>0.2579594047207715</v>
      </c>
      <c r="Q74" s="48">
        <f t="shared" si="154"/>
        <v>0.2575919908950326</v>
      </c>
      <c r="R74" s="48">
        <f t="shared" si="154"/>
        <v>0.24158711185300774</v>
      </c>
      <c r="S74" s="48">
        <f t="shared" si="154"/>
        <v>0.22149988416687136</v>
      </c>
      <c r="T74" s="48">
        <f t="shared" si="154"/>
        <v>0.24200335660387054</v>
      </c>
      <c r="U74" s="58">
        <f t="shared" si="154"/>
        <v>0.27337596532464492</v>
      </c>
      <c r="V74" s="58">
        <f t="shared" si="154"/>
        <v>0.27417773182763305</v>
      </c>
      <c r="W74" s="189">
        <f t="shared" si="154"/>
        <v>0.27385891397219014</v>
      </c>
      <c r="X74" s="188">
        <f t="shared" ref="X74" si="155">+X73/X$163</f>
        <v>0.25561566239265343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56">+D73/C73-1</f>
        <v>-0.10982352241443749</v>
      </c>
      <c r="E75" s="62">
        <f t="shared" si="156"/>
        <v>-2.1638565325895476E-3</v>
      </c>
      <c r="F75" s="62">
        <f t="shared" si="156"/>
        <v>-2.2541143361939464E-2</v>
      </c>
      <c r="G75" s="62">
        <f t="shared" si="156"/>
        <v>6.6722122456169375E-2</v>
      </c>
      <c r="H75" s="62">
        <f t="shared" si="156"/>
        <v>5.9623087409886644E-2</v>
      </c>
      <c r="I75" s="62">
        <f t="shared" si="156"/>
        <v>-7.9118773614637039E-2</v>
      </c>
      <c r="J75" s="190">
        <f t="shared" si="156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57">+Q73/P73-1</f>
        <v>-4.7314723185104657E-2</v>
      </c>
      <c r="R75" s="50">
        <f t="shared" si="157"/>
        <v>-7.9022962655556195E-2</v>
      </c>
      <c r="S75" s="50">
        <f t="shared" si="157"/>
        <v>-1.4455047961229872E-2</v>
      </c>
      <c r="T75" s="50">
        <f t="shared" ref="T75" si="158">+T73/S73-1</f>
        <v>5.0911939560225106E-2</v>
      </c>
      <c r="U75" s="62">
        <f t="shared" ref="U75" si="159">+U73/T73-1</f>
        <v>7.7123727077059501E-2</v>
      </c>
      <c r="V75" s="62">
        <f t="shared" ref="V75" si="160">+V73/U73-1</f>
        <v>-6.0022414332437268E-2</v>
      </c>
      <c r="W75" s="190">
        <f t="shared" ref="W75:X75" si="161">+W73/V73-1</f>
        <v>-3.1379723639344048E-2</v>
      </c>
      <c r="X75" s="187">
        <f t="shared" si="161"/>
        <v>-6.0647176771138622E-2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6" ht="51" x14ac:dyDescent="0.25">
      <c r="A78" s="86"/>
      <c r="B78" s="102">
        <v>2016</v>
      </c>
      <c r="C78" s="82">
        <f>+B78+1</f>
        <v>2017</v>
      </c>
      <c r="D78" s="82">
        <f t="shared" ref="D78:G78" si="162">+C78+1</f>
        <v>2018</v>
      </c>
      <c r="E78" s="82">
        <f t="shared" si="162"/>
        <v>2019</v>
      </c>
      <c r="F78" s="82">
        <f t="shared" si="162"/>
        <v>2020</v>
      </c>
      <c r="G78" s="82">
        <f t="shared" si="162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63">+P78+1</f>
        <v>2018</v>
      </c>
      <c r="R78" s="82">
        <f t="shared" si="163"/>
        <v>2019</v>
      </c>
      <c r="S78" s="82">
        <f t="shared" si="163"/>
        <v>2020</v>
      </c>
      <c r="T78" s="82">
        <f t="shared" ref="T78" si="164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6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 t="shared" ref="L79" si="165">+J79/I79-1</f>
        <v>-7.2816807681338469E-2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66">+SUM(C79)+SUM(B80:B90)</f>
        <v>521.68769999999995</v>
      </c>
      <c r="Q79" s="6">
        <f t="shared" si="166"/>
        <v>488.91809999999998</v>
      </c>
      <c r="R79" s="6">
        <f t="shared" si="166"/>
        <v>470.95859999999993</v>
      </c>
      <c r="S79" s="6">
        <f t="shared" si="166"/>
        <v>498.19559999999996</v>
      </c>
      <c r="T79" s="6">
        <f t="shared" si="166"/>
        <v>510.40219999999999</v>
      </c>
      <c r="U79" s="6">
        <f t="shared" si="166"/>
        <v>394.428</v>
      </c>
      <c r="V79" s="6">
        <f t="shared" si="166"/>
        <v>361.15440000000001</v>
      </c>
      <c r="W79" s="105">
        <f t="shared" si="166"/>
        <v>356.04290000000003</v>
      </c>
      <c r="X79" s="90">
        <f t="shared" si="166"/>
        <v>368.70849999999996</v>
      </c>
      <c r="Y79" s="117">
        <f t="shared" ref="Y79:Y84" si="167">+X79/W79-1</f>
        <v>3.5573241314459381E-2</v>
      </c>
      <c r="Z79" s="113">
        <f t="shared" ref="Z79:Z84" si="168">+POWER(X79/S79,0.2)-1</f>
        <v>-5.8421241666296919E-2</v>
      </c>
    </row>
    <row r="80" spans="1:26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" si="169">+J80/I80-1</f>
        <v>8.0027120423428411E-2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70">+SUM(C79:C80)+SUM(B81:B90)</f>
        <v>518.19449999999995</v>
      </c>
      <c r="Q80" s="6">
        <f t="shared" si="170"/>
        <v>485.76859999999999</v>
      </c>
      <c r="R80" s="6">
        <f t="shared" si="170"/>
        <v>473.92529999999994</v>
      </c>
      <c r="S80" s="6">
        <f t="shared" si="170"/>
        <v>502.87700000000001</v>
      </c>
      <c r="T80" s="6">
        <f t="shared" si="170"/>
        <v>498.52379999999999</v>
      </c>
      <c r="U80" s="6">
        <f t="shared" si="170"/>
        <v>390.12779999999998</v>
      </c>
      <c r="V80" s="6">
        <f t="shared" si="170"/>
        <v>360.98840000000001</v>
      </c>
      <c r="W80" s="105">
        <f t="shared" si="170"/>
        <v>357.87240000000003</v>
      </c>
      <c r="X80" s="90">
        <f t="shared" ref="X80" si="171">+SUM(K79:K80)+SUM(J81:J90)</f>
        <v>371.07389999999998</v>
      </c>
      <c r="Y80" s="117">
        <f t="shared" si="167"/>
        <v>3.6888846415649601E-2</v>
      </c>
      <c r="Z80" s="113">
        <f t="shared" si="168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ref="L81" si="172">+J81/I81-1</f>
        <v>-6.7911087816267202E-2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73">+SUM(C79:C81)+SUM(B82:B90)</f>
        <v>513.87799999999993</v>
      </c>
      <c r="Q81" s="6">
        <f t="shared" si="173"/>
        <v>484.74759999999998</v>
      </c>
      <c r="R81" s="6">
        <f t="shared" si="173"/>
        <v>474.61</v>
      </c>
      <c r="S81" s="6">
        <f t="shared" si="173"/>
        <v>499.87120000000004</v>
      </c>
      <c r="T81" s="6">
        <f t="shared" si="173"/>
        <v>488.84859999999998</v>
      </c>
      <c r="U81" s="6">
        <f t="shared" si="173"/>
        <v>394.82080000000002</v>
      </c>
      <c r="V81" s="6">
        <f t="shared" si="173"/>
        <v>354.6053</v>
      </c>
      <c r="W81" s="105">
        <f t="shared" si="173"/>
        <v>356.16210000000001</v>
      </c>
      <c r="X81" s="90">
        <f t="shared" ref="X81" si="174">+SUM(K79:K81)+SUM(J82:J90)</f>
        <v>375.08529999999996</v>
      </c>
      <c r="Y81" s="117">
        <f t="shared" si="167"/>
        <v>5.31308637274992E-2</v>
      </c>
      <c r="Z81" s="113">
        <f t="shared" si="168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ref="L82" si="175">+J82/I82-1</f>
        <v>-0.17174577067669172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76">+SUM(C79:C82)+SUM(B83:B90)</f>
        <v>503.07210000000003</v>
      </c>
      <c r="Q82" s="6">
        <f t="shared" si="176"/>
        <v>486.02870000000001</v>
      </c>
      <c r="R82" s="6">
        <f t="shared" si="176"/>
        <v>475.40840000000003</v>
      </c>
      <c r="S82" s="6">
        <f t="shared" si="176"/>
        <v>501.23549999999994</v>
      </c>
      <c r="T82" s="6">
        <f t="shared" si="176"/>
        <v>476.82579999999996</v>
      </c>
      <c r="U82" s="6">
        <f t="shared" si="176"/>
        <v>393.85809999999998</v>
      </c>
      <c r="V82" s="6">
        <f t="shared" si="176"/>
        <v>354.16750000000002</v>
      </c>
      <c r="W82" s="105">
        <f t="shared" si="176"/>
        <v>351.77639999999997</v>
      </c>
      <c r="X82" s="90">
        <f t="shared" ref="X82" si="177">+SUM(K79:K82)+SUM(J83:J90)</f>
        <v>378.72459999999995</v>
      </c>
      <c r="Y82" s="117">
        <f t="shared" si="167"/>
        <v>7.6606048614972444E-2</v>
      </c>
      <c r="Z82" s="113">
        <f t="shared" si="168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ref="L83" si="178">+J83/I83-1</f>
        <v>7.5486179073082305E-2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79">+SUM(C79:C83)+SUM(B84:B90)</f>
        <v>503.45209999999997</v>
      </c>
      <c r="Q83" s="6">
        <f t="shared" si="179"/>
        <v>489.40719999999999</v>
      </c>
      <c r="R83" s="6">
        <f t="shared" si="179"/>
        <v>473.67960000000005</v>
      </c>
      <c r="S83" s="6">
        <f t="shared" si="179"/>
        <v>501.51869999999997</v>
      </c>
      <c r="T83" s="6">
        <f t="shared" si="179"/>
        <v>455.16420000000005</v>
      </c>
      <c r="U83" s="6">
        <f t="shared" si="179"/>
        <v>395.47620000000001</v>
      </c>
      <c r="V83" s="6">
        <f t="shared" si="179"/>
        <v>351.73239999999998</v>
      </c>
      <c r="W83" s="105">
        <f t="shared" si="179"/>
        <v>353.63529999999997</v>
      </c>
      <c r="X83" s="90">
        <f t="shared" ref="X83" si="180">+SUM(K79:K83)+SUM(J84:J90)</f>
        <v>374.8501</v>
      </c>
      <c r="Y83" s="117">
        <f t="shared" si="167"/>
        <v>5.9990617452499784E-2</v>
      </c>
      <c r="Z83" s="113">
        <f t="shared" si="168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ref="L84" si="181">+J84/I84-1</f>
        <v>-0.10756995529796942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82">+SUM(C79:C84)+SUM(B85:B90)</f>
        <v>509.77260000000001</v>
      </c>
      <c r="Q84" s="6">
        <f t="shared" si="182"/>
        <v>485.32640000000004</v>
      </c>
      <c r="R84" s="6">
        <f t="shared" si="182"/>
        <v>467.7878</v>
      </c>
      <c r="S84" s="6">
        <f t="shared" si="182"/>
        <v>515.85680000000002</v>
      </c>
      <c r="T84" s="6">
        <f t="shared" si="182"/>
        <v>442.21950000000004</v>
      </c>
      <c r="U84" s="6">
        <f t="shared" si="182"/>
        <v>383.41640000000001</v>
      </c>
      <c r="V84" s="6">
        <f t="shared" si="182"/>
        <v>355.71109999999999</v>
      </c>
      <c r="W84" s="105">
        <f t="shared" si="182"/>
        <v>349.97519999999997</v>
      </c>
      <c r="X84" s="90">
        <f t="shared" ref="X84" si="183">+SUM(K79:K84)+SUM(J85:J90)</f>
        <v>369.67459999999994</v>
      </c>
      <c r="Y84" s="117">
        <f t="shared" si="167"/>
        <v>5.6287988406035439E-2</v>
      </c>
      <c r="Z84" s="113">
        <f t="shared" si="168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/>
      <c r="L85" s="91"/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84">+SUM(C79:C85)+SUM(B86:B90)</f>
        <v>508.41229999999996</v>
      </c>
      <c r="Q85" s="6">
        <f t="shared" si="184"/>
        <v>484.37130000000002</v>
      </c>
      <c r="R85" s="6">
        <f t="shared" si="184"/>
        <v>468.21230000000003</v>
      </c>
      <c r="S85" s="6">
        <f t="shared" si="184"/>
        <v>529.02319999999997</v>
      </c>
      <c r="T85" s="6">
        <f t="shared" si="184"/>
        <v>424.59800000000001</v>
      </c>
      <c r="U85" s="6">
        <f t="shared" si="184"/>
        <v>381.69389999999999</v>
      </c>
      <c r="V85" s="6">
        <f t="shared" si="184"/>
        <v>356.51700000000005</v>
      </c>
      <c r="W85" s="105">
        <f t="shared" si="184"/>
        <v>351.47899999999998</v>
      </c>
      <c r="X85" s="90"/>
      <c r="Y85" s="117"/>
      <c r="Z85" s="113"/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/>
      <c r="L86" s="91"/>
      <c r="M86" s="2"/>
      <c r="N86" s="89" t="s">
        <v>5</v>
      </c>
      <c r="O86" s="104">
        <f>+'[2]CONSUMO EN ARGENTINA POR COLOR'!C1162*9</f>
        <v>594.50549699999999</v>
      </c>
      <c r="P86" s="6">
        <f t="shared" ref="P86:W86" si="185">+SUM(C79:C86)+SUM(B87:B90)</f>
        <v>505.36869999999999</v>
      </c>
      <c r="Q86" s="6">
        <f t="shared" si="185"/>
        <v>483.92790000000002</v>
      </c>
      <c r="R86" s="6">
        <f t="shared" si="185"/>
        <v>471.56049999999993</v>
      </c>
      <c r="S86" s="6">
        <f t="shared" si="185"/>
        <v>529.61340000000007</v>
      </c>
      <c r="T86" s="6">
        <f t="shared" si="185"/>
        <v>417.32209999999998</v>
      </c>
      <c r="U86" s="6">
        <f t="shared" si="185"/>
        <v>379.21640000000002</v>
      </c>
      <c r="V86" s="6">
        <f t="shared" si="185"/>
        <v>357.96480000000003</v>
      </c>
      <c r="W86" s="105">
        <f t="shared" si="185"/>
        <v>353.7423</v>
      </c>
      <c r="X86" s="90"/>
      <c r="Y86" s="117"/>
      <c r="Z86" s="113"/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/>
      <c r="L87" s="91"/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186">+SUM(C79:C87)+SUM(B88:B90)</f>
        <v>501.1617</v>
      </c>
      <c r="Q87" s="6">
        <f t="shared" si="186"/>
        <v>478.0213</v>
      </c>
      <c r="R87" s="6">
        <f t="shared" si="186"/>
        <v>476.05619999999999</v>
      </c>
      <c r="S87" s="6">
        <f t="shared" si="186"/>
        <v>529.20749999999998</v>
      </c>
      <c r="T87" s="6">
        <f t="shared" si="186"/>
        <v>413.97450000000003</v>
      </c>
      <c r="U87" s="6">
        <f t="shared" si="186"/>
        <v>373.38889999999998</v>
      </c>
      <c r="V87" s="6">
        <f t="shared" si="186"/>
        <v>356.63110000000006</v>
      </c>
      <c r="W87" s="67">
        <f t="shared" si="186"/>
        <v>354.80799999999999</v>
      </c>
      <c r="X87" s="37"/>
      <c r="Y87" s="78"/>
      <c r="Z87" s="7"/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187">+SUM(C79:C88)+SUM(B89:B90)</f>
        <v>494.93539999999996</v>
      </c>
      <c r="Q88" s="6">
        <f t="shared" si="187"/>
        <v>476.7534</v>
      </c>
      <c r="R88" s="6">
        <f t="shared" si="187"/>
        <v>483.70939999999996</v>
      </c>
      <c r="S88" s="6">
        <f t="shared" si="187"/>
        <v>527.77380000000005</v>
      </c>
      <c r="T88" s="6">
        <f t="shared" si="187"/>
        <v>406.17650000000003</v>
      </c>
      <c r="U88" s="6">
        <f t="shared" si="187"/>
        <v>373.77940000000001</v>
      </c>
      <c r="V88" s="6">
        <f t="shared" si="187"/>
        <v>355.80629999999996</v>
      </c>
      <c r="W88" s="105">
        <f t="shared" si="187"/>
        <v>355.96870000000001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188">+SUM(C79:C89)+SUM(B90)</f>
        <v>494.10489999999999</v>
      </c>
      <c r="Q89" s="6">
        <f t="shared" si="188"/>
        <v>471.88170000000002</v>
      </c>
      <c r="R89" s="6">
        <f t="shared" si="188"/>
        <v>487.9271</v>
      </c>
      <c r="S89" s="6">
        <f t="shared" si="188"/>
        <v>524.17070000000001</v>
      </c>
      <c r="T89" s="6">
        <f t="shared" si="188"/>
        <v>403.66089999999997</v>
      </c>
      <c r="U89" s="6">
        <f t="shared" si="188"/>
        <v>369.83280000000002</v>
      </c>
      <c r="V89" s="6">
        <f t="shared" si="188"/>
        <v>354.54720000000003</v>
      </c>
      <c r="W89" s="105">
        <f t="shared" si="188"/>
        <v>361.68849999999998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189">+SUM(C79:C90)</f>
        <v>488.98259999999993</v>
      </c>
      <c r="Q90" s="6">
        <f t="shared" si="189"/>
        <v>470.97519999999997</v>
      </c>
      <c r="R90" s="6">
        <f t="shared" si="189"/>
        <v>490.71669999999995</v>
      </c>
      <c r="S90" s="6">
        <f t="shared" si="189"/>
        <v>522.26790000000005</v>
      </c>
      <c r="T90" s="6">
        <f t="shared" si="189"/>
        <v>399.95010000000002</v>
      </c>
      <c r="U90" s="6">
        <f t="shared" si="189"/>
        <v>359.75560000000002</v>
      </c>
      <c r="V90" s="6">
        <f t="shared" ref="V90:W90" si="190">+SUM(I79:I90)</f>
        <v>357.95780000000002</v>
      </c>
      <c r="W90" s="105">
        <f t="shared" si="190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191">SUM(C79:C90)</f>
        <v>488.98259999999993</v>
      </c>
      <c r="D91" s="83">
        <f t="shared" ref="D91" si="192">SUM(D79:D90)</f>
        <v>470.97519999999997</v>
      </c>
      <c r="E91" s="83">
        <f t="shared" ref="E91" si="193">SUM(E79:E90)</f>
        <v>490.71669999999995</v>
      </c>
      <c r="F91" s="83">
        <f t="shared" ref="F91:G91" si="194">SUM(F79:F90)</f>
        <v>522.26790000000005</v>
      </c>
      <c r="G91" s="83">
        <f t="shared" si="194"/>
        <v>399.95010000000002</v>
      </c>
      <c r="H91" s="83">
        <f t="shared" ref="H91:I91" si="195">SUM(H79:H90)</f>
        <v>359.75560000000002</v>
      </c>
      <c r="I91" s="83">
        <f t="shared" si="195"/>
        <v>357.95780000000002</v>
      </c>
      <c r="J91" s="107">
        <f t="shared" ref="J91" si="196">SUM(J79:J90)</f>
        <v>363.95739999999995</v>
      </c>
      <c r="K91" s="107"/>
      <c r="L91" s="94"/>
      <c r="M91" s="3"/>
      <c r="N91" s="92" t="s">
        <v>14</v>
      </c>
      <c r="O91" s="106">
        <f t="shared" ref="O91" si="197">+AVERAGE(O79:O90)</f>
        <v>594.02953591666676</v>
      </c>
      <c r="P91" s="83">
        <f>+AVERAGE(P79:P90)</f>
        <v>505.25188333333335</v>
      </c>
      <c r="Q91" s="83">
        <f t="shared" ref="Q91" si="198">+AVERAGE(Q79:Q90)</f>
        <v>482.17728333333326</v>
      </c>
      <c r="R91" s="83">
        <f t="shared" ref="R91" si="199">+AVERAGE(R79:R90)</f>
        <v>476.21265833333337</v>
      </c>
      <c r="S91" s="83">
        <f t="shared" ref="S91:X91" si="200">+AVERAGE(S79:S90)</f>
        <v>515.134275</v>
      </c>
      <c r="T91" s="83">
        <f t="shared" si="200"/>
        <v>444.80551666666673</v>
      </c>
      <c r="U91" s="83">
        <f t="shared" si="200"/>
        <v>382.48285833333335</v>
      </c>
      <c r="V91" s="83">
        <f t="shared" si="200"/>
        <v>356.48194166666673</v>
      </c>
      <c r="W91" s="107">
        <f t="shared" si="200"/>
        <v>355.59234999999995</v>
      </c>
      <c r="X91" s="93">
        <f t="shared" si="200"/>
        <v>373.01949999999994</v>
      </c>
      <c r="Y91" s="119">
        <f>+X91/W91-1</f>
        <v>4.9008787731232184E-2</v>
      </c>
      <c r="Z91" s="173">
        <f>+POWER(X91/S91,0.2)-1</f>
        <v>-6.2519554555405921E-2</v>
      </c>
    </row>
    <row r="92" spans="1:26" ht="25.5" x14ac:dyDescent="0.25">
      <c r="A92" s="95" t="s">
        <v>15</v>
      </c>
      <c r="B92" s="108">
        <f t="shared" ref="B92:G92" si="201">+B91/B$163</f>
        <v>0.5624266437845542</v>
      </c>
      <c r="C92" s="84">
        <f t="shared" si="201"/>
        <v>0.54787782225942094</v>
      </c>
      <c r="D92" s="84">
        <f t="shared" si="201"/>
        <v>0.56095047880418591</v>
      </c>
      <c r="E92" s="84">
        <f t="shared" si="201"/>
        <v>0.55431973434224302</v>
      </c>
      <c r="F92" s="84">
        <f t="shared" si="201"/>
        <v>0.55385667221441115</v>
      </c>
      <c r="G92" s="84">
        <f t="shared" si="201"/>
        <v>0.47721309531110662</v>
      </c>
      <c r="H92" s="84">
        <f t="shared" ref="H92:I92" si="202">+H91/H$163</f>
        <v>0.43469229098060469</v>
      </c>
      <c r="I92" s="84">
        <f t="shared" si="202"/>
        <v>0.46172601147330933</v>
      </c>
      <c r="J92" s="109">
        <f t="shared" ref="J92" si="203">+J91/J$163</f>
        <v>0.47723819470819911</v>
      </c>
      <c r="K92" s="109"/>
      <c r="L92" s="97"/>
      <c r="M92" s="3"/>
      <c r="N92" s="95" t="s">
        <v>15</v>
      </c>
      <c r="O92" s="108">
        <f t="shared" ref="O92:W92" si="204">+O91/O$163</f>
        <v>0.58467804006315383</v>
      </c>
      <c r="P92" s="84">
        <f t="shared" si="204"/>
        <v>0.55388249903909115</v>
      </c>
      <c r="Q92" s="84">
        <f t="shared" si="204"/>
        <v>0.55404875571490231</v>
      </c>
      <c r="R92" s="84">
        <f t="shared" si="204"/>
        <v>0.55723036916057234</v>
      </c>
      <c r="S92" s="84">
        <f t="shared" si="204"/>
        <v>0.56076073073876687</v>
      </c>
      <c r="T92" s="84">
        <f t="shared" si="204"/>
        <v>0.50339496915329418</v>
      </c>
      <c r="U92" s="84">
        <f t="shared" si="204"/>
        <v>0.45396673386433739</v>
      </c>
      <c r="V92" s="84">
        <f t="shared" si="204"/>
        <v>0.45144405674713423</v>
      </c>
      <c r="W92" s="109">
        <f t="shared" si="204"/>
        <v>0.46436551533536785</v>
      </c>
      <c r="X92" s="96">
        <f t="shared" ref="X92" si="205">+X91/X$163</f>
        <v>0.48402848601900811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6">+D91/C91-1</f>
        <v>-3.6826259257486837E-2</v>
      </c>
      <c r="E93" s="85">
        <f t="shared" ref="E93" si="207">+E91/D91-1</f>
        <v>4.1916219792464515E-2</v>
      </c>
      <c r="F93" s="85">
        <f t="shared" ref="F93:J93" si="208">+F91/E91-1</f>
        <v>6.4296161104768101E-2</v>
      </c>
      <c r="G93" s="85">
        <f t="shared" si="208"/>
        <v>-0.23420508899742842</v>
      </c>
      <c r="H93" s="85">
        <f t="shared" si="208"/>
        <v>-0.1004987872237062</v>
      </c>
      <c r="I93" s="85">
        <f t="shared" si="208"/>
        <v>-4.9972814877655702E-3</v>
      </c>
      <c r="J93" s="111">
        <f t="shared" si="208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09">+Q91/P91-1</f>
        <v>-4.56694982466338E-2</v>
      </c>
      <c r="R93" s="85">
        <f t="shared" ref="R93" si="210">+R91/Q91-1</f>
        <v>-1.2370190811906268E-2</v>
      </c>
      <c r="S93" s="85">
        <f t="shared" ref="S93" si="211">+S91/R91-1</f>
        <v>8.1731587738314015E-2</v>
      </c>
      <c r="T93" s="85">
        <f t="shared" ref="T93" si="212">+T91/S91-1</f>
        <v>-0.13652509985543726</v>
      </c>
      <c r="U93" s="85">
        <f t="shared" ref="U93" si="213">+U91/T91-1</f>
        <v>-0.14011215238599983</v>
      </c>
      <c r="V93" s="85">
        <f t="shared" ref="V93" si="214">+V91/U91-1</f>
        <v>-6.7979299203016486E-2</v>
      </c>
      <c r="W93" s="111">
        <f t="shared" ref="W93:X93" si="215">+W91/V91-1</f>
        <v>-2.49547470064726E-3</v>
      </c>
      <c r="X93" s="100">
        <f t="shared" si="215"/>
        <v>4.9008787731232184E-2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16">+C96+1</f>
        <v>2018</v>
      </c>
      <c r="E96" s="82">
        <f t="shared" si="216"/>
        <v>2019</v>
      </c>
      <c r="F96" s="82">
        <f t="shared" si="216"/>
        <v>2020</v>
      </c>
      <c r="G96" s="82">
        <f t="shared" si="216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17">+P96+1</f>
        <v>2018</v>
      </c>
      <c r="R96" s="82">
        <f t="shared" si="217"/>
        <v>2019</v>
      </c>
      <c r="S96" s="82">
        <f t="shared" si="217"/>
        <v>2020</v>
      </c>
      <c r="T96" s="82">
        <f t="shared" ref="T96" si="218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 t="shared" ref="L97" si="219">+J97/I97-1</f>
        <v>-0.20675289797040952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20">+SUM(C97)+SUM(B98:B108)</f>
        <v>171.86430000000001</v>
      </c>
      <c r="Q97" s="6">
        <f t="shared" si="220"/>
        <v>162.4</v>
      </c>
      <c r="R97" s="6">
        <f t="shared" si="220"/>
        <v>156.39620000000002</v>
      </c>
      <c r="S97" s="6">
        <f t="shared" si="220"/>
        <v>181.19389999999999</v>
      </c>
      <c r="T97" s="6">
        <f t="shared" si="220"/>
        <v>216.00779999999997</v>
      </c>
      <c r="U97" s="6">
        <f t="shared" si="220"/>
        <v>210.71360000000001</v>
      </c>
      <c r="V97" s="6">
        <f t="shared" si="220"/>
        <v>226.5496</v>
      </c>
      <c r="W97" s="105">
        <f t="shared" si="220"/>
        <v>193.16030000000001</v>
      </c>
      <c r="X97" s="90">
        <f t="shared" si="220"/>
        <v>190.8888</v>
      </c>
      <c r="Y97" s="117">
        <f t="shared" ref="Y97:Y102" si="221">+X97/W97-1</f>
        <v>-1.1759662829266659E-2</v>
      </c>
      <c r="Z97" s="113">
        <f t="shared" ref="Z97:Z102" si="222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" si="223">+J98/I98-1</f>
        <v>1.451587308215907E-2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24">+SUM(C97:C98)+SUM(B99:B108)</f>
        <v>169.71710000000002</v>
      </c>
      <c r="Q98" s="6">
        <f t="shared" si="224"/>
        <v>163.50299999999999</v>
      </c>
      <c r="R98" s="6">
        <f t="shared" si="224"/>
        <v>156.4743</v>
      </c>
      <c r="S98" s="6">
        <f t="shared" si="224"/>
        <v>182.05</v>
      </c>
      <c r="T98" s="6">
        <f t="shared" si="224"/>
        <v>219.5719</v>
      </c>
      <c r="U98" s="6">
        <f t="shared" si="224"/>
        <v>212.01609999999999</v>
      </c>
      <c r="V98" s="6">
        <f t="shared" si="224"/>
        <v>223.34660000000002</v>
      </c>
      <c r="W98" s="105">
        <f t="shared" si="224"/>
        <v>193.33410000000003</v>
      </c>
      <c r="X98" s="90">
        <f t="shared" ref="X98" si="225">+SUM(K97:K98)+SUM(J99:J108)</f>
        <v>190.0368</v>
      </c>
      <c r="Y98" s="117">
        <f t="shared" si="221"/>
        <v>-1.7054932368371856E-2</v>
      </c>
      <c r="Z98" s="113">
        <f t="shared" si="222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ref="L99" si="226">+J99/I99-1</f>
        <v>-0.13738025612584459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27">+SUM(C97:C99)+SUM(B100:B108)</f>
        <v>168.9393</v>
      </c>
      <c r="Q99" s="6">
        <f t="shared" si="227"/>
        <v>162.64549999999997</v>
      </c>
      <c r="R99" s="6">
        <f t="shared" si="227"/>
        <v>158.0204</v>
      </c>
      <c r="S99" s="6">
        <f t="shared" si="227"/>
        <v>183.59010000000001</v>
      </c>
      <c r="T99" s="6">
        <f t="shared" si="227"/>
        <v>221.52529999999999</v>
      </c>
      <c r="U99" s="6">
        <f t="shared" si="227"/>
        <v>214.61700000000002</v>
      </c>
      <c r="V99" s="6">
        <f t="shared" si="227"/>
        <v>220.48489999999998</v>
      </c>
      <c r="W99" s="105">
        <f t="shared" si="227"/>
        <v>191.29050000000004</v>
      </c>
      <c r="X99" s="90">
        <f t="shared" ref="X99" si="228">+SUM(K97:K99)+SUM(J100:J108)</f>
        <v>191.5737</v>
      </c>
      <c r="Y99" s="117">
        <f t="shared" si="221"/>
        <v>1.4804708022613244E-3</v>
      </c>
      <c r="Z99" s="113">
        <f t="shared" si="222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ref="L100" si="229">+J100/I100-1</f>
        <v>6.0539862587949855E-2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30">+SUM(C97:C100)+SUM(B101:B108)</f>
        <v>167.27019999999999</v>
      </c>
      <c r="Q100" s="6">
        <f t="shared" si="230"/>
        <v>163.05689999999998</v>
      </c>
      <c r="R100" s="6">
        <f t="shared" si="230"/>
        <v>158.60309999999998</v>
      </c>
      <c r="S100" s="6">
        <f t="shared" si="230"/>
        <v>185.25900000000001</v>
      </c>
      <c r="T100" s="6">
        <f t="shared" si="230"/>
        <v>224.6507</v>
      </c>
      <c r="U100" s="6">
        <f t="shared" si="230"/>
        <v>216.00990000000002</v>
      </c>
      <c r="V100" s="6">
        <f t="shared" si="230"/>
        <v>216.37559999999999</v>
      </c>
      <c r="W100" s="105">
        <f t="shared" si="230"/>
        <v>192.16899999999998</v>
      </c>
      <c r="X100" s="90">
        <f t="shared" ref="X100" si="231">+SUM(K97:K100)+SUM(J101:J108)</f>
        <v>193.79730000000001</v>
      </c>
      <c r="Y100" s="117">
        <f t="shared" si="221"/>
        <v>8.4732709229897729E-3</v>
      </c>
      <c r="Z100" s="113">
        <f t="shared" si="222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ref="L101" si="232">+J101/I101-1</f>
        <v>0.19432638467246832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33">+SUM(C97:C101)+SUM(B102:B108)</f>
        <v>166.68530000000001</v>
      </c>
      <c r="Q101" s="6">
        <f t="shared" si="233"/>
        <v>161.56319999999999</v>
      </c>
      <c r="R101" s="6">
        <f t="shared" si="233"/>
        <v>163.1223</v>
      </c>
      <c r="S101" s="6">
        <f t="shared" si="233"/>
        <v>187.71879999999999</v>
      </c>
      <c r="T101" s="6">
        <f t="shared" si="233"/>
        <v>224.33029999999999</v>
      </c>
      <c r="U101" s="6">
        <f t="shared" si="233"/>
        <v>216.6763</v>
      </c>
      <c r="V101" s="6">
        <f t="shared" si="233"/>
        <v>215.4477</v>
      </c>
      <c r="W101" s="105">
        <f t="shared" si="233"/>
        <v>195.62560000000002</v>
      </c>
      <c r="X101" s="90">
        <f t="shared" ref="X101" si="234">+SUM(K97:K101)+SUM(J102:J108)</f>
        <v>196.8579</v>
      </c>
      <c r="Y101" s="117">
        <f t="shared" si="221"/>
        <v>6.2992778041319752E-3</v>
      </c>
      <c r="Z101" s="113">
        <f t="shared" si="222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ref="L102" si="235">+J102/I102-1</f>
        <v>-0.11263149003632011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36">+SUM(C97:C102)+SUM(B103:B108)</f>
        <v>168.07990000000001</v>
      </c>
      <c r="Q102" s="6">
        <f t="shared" si="236"/>
        <v>160.16360000000003</v>
      </c>
      <c r="R102" s="6">
        <f t="shared" si="236"/>
        <v>165.46520000000001</v>
      </c>
      <c r="S102" s="6">
        <f t="shared" si="236"/>
        <v>191.09460000000001</v>
      </c>
      <c r="T102" s="6">
        <f t="shared" si="236"/>
        <v>226.79990000000001</v>
      </c>
      <c r="U102" s="6">
        <f t="shared" si="236"/>
        <v>218.51609999999999</v>
      </c>
      <c r="V102" s="6">
        <f t="shared" si="236"/>
        <v>207.34540000000001</v>
      </c>
      <c r="W102" s="105">
        <f t="shared" si="236"/>
        <v>193.8921</v>
      </c>
      <c r="X102" s="90">
        <f t="shared" ref="X102" si="237">+SUM(K97:K102)+SUM(J103:J108)</f>
        <v>200.58170000000001</v>
      </c>
      <c r="Y102" s="117">
        <f t="shared" si="221"/>
        <v>3.4501663554110884E-2</v>
      </c>
      <c r="Z102" s="113">
        <f t="shared" si="222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/>
      <c r="L103" s="91"/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38">+SUM(C97:C103)+SUM(B104:B108)</f>
        <v>169.72910000000002</v>
      </c>
      <c r="Q103" s="6">
        <f t="shared" si="238"/>
        <v>157.5677</v>
      </c>
      <c r="R103" s="6">
        <f t="shared" si="238"/>
        <v>168.86369999999999</v>
      </c>
      <c r="S103" s="6">
        <f t="shared" si="238"/>
        <v>196.70340000000002</v>
      </c>
      <c r="T103" s="6">
        <f t="shared" si="238"/>
        <v>221.98419999999999</v>
      </c>
      <c r="U103" s="6">
        <f t="shared" si="238"/>
        <v>221.45740000000001</v>
      </c>
      <c r="V103" s="6">
        <f t="shared" si="238"/>
        <v>202.73820000000001</v>
      </c>
      <c r="W103" s="105">
        <f t="shared" si="238"/>
        <v>195.7851</v>
      </c>
      <c r="X103" s="90"/>
      <c r="Y103" s="117"/>
      <c r="Z103" s="113"/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/>
      <c r="L104" s="91"/>
      <c r="M104" s="2"/>
      <c r="N104" s="89" t="s">
        <v>5</v>
      </c>
      <c r="O104" s="104">
        <f>+'[2]CONSUMO EN ARGENTINA POR COLOR'!F1162*9</f>
        <v>180.30462</v>
      </c>
      <c r="P104" s="6">
        <f t="shared" ref="P104:W104" si="239">+SUM(C97:C104)+SUM(B105:B108)</f>
        <v>166.03880000000001</v>
      </c>
      <c r="Q104" s="6">
        <f t="shared" si="239"/>
        <v>155.78950000000003</v>
      </c>
      <c r="R104" s="6">
        <f t="shared" si="239"/>
        <v>170.78919999999999</v>
      </c>
      <c r="S104" s="6">
        <f t="shared" si="239"/>
        <v>200.0712</v>
      </c>
      <c r="T104" s="6">
        <f t="shared" si="239"/>
        <v>221.15890000000002</v>
      </c>
      <c r="U104" s="6">
        <f t="shared" si="239"/>
        <v>224.3981</v>
      </c>
      <c r="V104" s="6">
        <f t="shared" si="239"/>
        <v>199.56930000000003</v>
      </c>
      <c r="W104" s="105">
        <f t="shared" si="239"/>
        <v>194.58499999999998</v>
      </c>
      <c r="X104" s="90"/>
      <c r="Y104" s="117"/>
      <c r="Z104" s="113"/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/>
      <c r="L105" s="91"/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40">+SUM(C97:C105)+SUM(B106:B108)</f>
        <v>161.095</v>
      </c>
      <c r="Q105" s="6">
        <f t="shared" si="240"/>
        <v>157.1773</v>
      </c>
      <c r="R105" s="6">
        <f t="shared" si="240"/>
        <v>172.8159</v>
      </c>
      <c r="S105" s="6">
        <f t="shared" si="240"/>
        <v>205.32750000000001</v>
      </c>
      <c r="T105" s="6">
        <f t="shared" si="240"/>
        <v>214.3879</v>
      </c>
      <c r="U105" s="6">
        <f t="shared" si="240"/>
        <v>229.4239</v>
      </c>
      <c r="V105" s="6">
        <f t="shared" si="240"/>
        <v>197.08950000000002</v>
      </c>
      <c r="W105" s="67">
        <f t="shared" si="240"/>
        <v>195.32909999999998</v>
      </c>
      <c r="X105" s="37"/>
      <c r="Y105" s="78"/>
      <c r="Z105" s="7"/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41">+SUM(C97:C106)+SUM(B107:B108)</f>
        <v>162.58180000000002</v>
      </c>
      <c r="Q106" s="6">
        <f t="shared" si="241"/>
        <v>154.59630000000001</v>
      </c>
      <c r="R106" s="6">
        <f t="shared" si="241"/>
        <v>176.3657</v>
      </c>
      <c r="S106" s="6">
        <f t="shared" si="241"/>
        <v>206.78570000000002</v>
      </c>
      <c r="T106" s="6">
        <f t="shared" si="241"/>
        <v>209.62600000000003</v>
      </c>
      <c r="U106" s="6">
        <f t="shared" si="241"/>
        <v>233.41919999999999</v>
      </c>
      <c r="V106" s="6">
        <f t="shared" si="241"/>
        <v>196.19840000000002</v>
      </c>
      <c r="W106" s="105">
        <f t="shared" si="241"/>
        <v>192.07670000000002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42">+SUM(C97:C107)+SUM(B108)</f>
        <v>163.69580000000002</v>
      </c>
      <c r="Q107" s="6">
        <f t="shared" si="242"/>
        <v>151.38220000000001</v>
      </c>
      <c r="R107" s="6">
        <f t="shared" si="242"/>
        <v>179.79040000000001</v>
      </c>
      <c r="S107" s="6">
        <f t="shared" si="242"/>
        <v>208.91550000000001</v>
      </c>
      <c r="T107" s="6">
        <f t="shared" si="242"/>
        <v>210.57150000000001</v>
      </c>
      <c r="U107" s="6">
        <f t="shared" si="242"/>
        <v>233.56219999999999</v>
      </c>
      <c r="V107" s="6">
        <f t="shared" si="242"/>
        <v>195.05370000000002</v>
      </c>
      <c r="W107" s="105">
        <f t="shared" si="242"/>
        <v>190.23079999999999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43">+SUM(C97:C108)</f>
        <v>162.77670000000001</v>
      </c>
      <c r="Q108" s="6">
        <f t="shared" si="243"/>
        <v>154.18320000000003</v>
      </c>
      <c r="R108" s="6">
        <f t="shared" si="243"/>
        <v>180.9632</v>
      </c>
      <c r="S108" s="6">
        <f t="shared" si="243"/>
        <v>210.9564</v>
      </c>
      <c r="T108" s="6">
        <f t="shared" si="243"/>
        <v>212.72760000000002</v>
      </c>
      <c r="U108" s="6">
        <f t="shared" si="243"/>
        <v>228.05579999999998</v>
      </c>
      <c r="V108" s="6">
        <f t="shared" ref="V108:W108" si="244">+SUM(I97:I108)</f>
        <v>195.71620000000001</v>
      </c>
      <c r="W108" s="105">
        <f t="shared" si="244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5">SUM(G97:G108)</f>
        <v>212.72760000000002</v>
      </c>
      <c r="H109" s="83">
        <f t="shared" si="245"/>
        <v>228.05579999999998</v>
      </c>
      <c r="I109" s="83">
        <f t="shared" ref="I109:J109" si="246">SUM(I97:I108)</f>
        <v>195.71620000000001</v>
      </c>
      <c r="J109" s="107">
        <f t="shared" si="246"/>
        <v>188.8047</v>
      </c>
      <c r="K109" s="107"/>
      <c r="L109" s="94"/>
      <c r="M109" s="3"/>
      <c r="N109" s="92" t="s">
        <v>14</v>
      </c>
      <c r="O109" s="106">
        <f t="shared" ref="O109:X109" si="247">+AVERAGE(O97:O108)</f>
        <v>178.82120283333333</v>
      </c>
      <c r="P109" s="83">
        <f t="shared" si="247"/>
        <v>166.53944166666668</v>
      </c>
      <c r="Q109" s="83">
        <f t="shared" si="247"/>
        <v>158.66903333333335</v>
      </c>
      <c r="R109" s="83">
        <f t="shared" si="247"/>
        <v>167.3058</v>
      </c>
      <c r="S109" s="83">
        <f t="shared" si="247"/>
        <v>194.97217500000002</v>
      </c>
      <c r="T109" s="83">
        <f t="shared" si="247"/>
        <v>218.61183333333335</v>
      </c>
      <c r="U109" s="83">
        <f t="shared" si="247"/>
        <v>221.57213333333334</v>
      </c>
      <c r="V109" s="83">
        <f t="shared" si="247"/>
        <v>207.99292500000001</v>
      </c>
      <c r="W109" s="107">
        <f t="shared" si="247"/>
        <v>193.02358333333336</v>
      </c>
      <c r="X109" s="93">
        <f t="shared" si="247"/>
        <v>193.95603333333335</v>
      </c>
      <c r="Y109" s="119">
        <f>+X109/W109-1</f>
        <v>4.8307568634746723E-3</v>
      </c>
      <c r="Z109" s="173">
        <f>+POWER(X109/S109,0.2)-1</f>
        <v>-1.0445251032056291E-3</v>
      </c>
    </row>
    <row r="110" spans="1:26" ht="25.5" x14ac:dyDescent="0.25">
      <c r="A110" s="95" t="s">
        <v>15</v>
      </c>
      <c r="B110" s="108">
        <f t="shared" ref="B110:H110" si="248">+B109/B$163</f>
        <v>0.18434355877736455</v>
      </c>
      <c r="C110" s="84">
        <f t="shared" si="248"/>
        <v>0.18238224409329717</v>
      </c>
      <c r="D110" s="84">
        <f t="shared" si="248"/>
        <v>0.18363841634031169</v>
      </c>
      <c r="E110" s="84">
        <f t="shared" si="248"/>
        <v>0.20441829868378678</v>
      </c>
      <c r="F110" s="84">
        <f t="shared" si="248"/>
        <v>0.22371585480618703</v>
      </c>
      <c r="G110" s="84">
        <f t="shared" si="248"/>
        <v>0.25382265551153249</v>
      </c>
      <c r="H110" s="84">
        <f t="shared" si="248"/>
        <v>0.27555956925594643</v>
      </c>
      <c r="I110" s="84">
        <f t="shared" ref="I110:J110" si="249">+I109/I$163</f>
        <v>0.25245227344316146</v>
      </c>
      <c r="J110" s="109">
        <f t="shared" si="249"/>
        <v>0.24756967211114028</v>
      </c>
      <c r="K110" s="109"/>
      <c r="L110" s="97"/>
      <c r="M110" s="3"/>
      <c r="N110" s="95" t="s">
        <v>15</v>
      </c>
      <c r="O110" s="108">
        <f t="shared" ref="O110:W110" si="250">+O109/O$163</f>
        <v>0.17600611429697696</v>
      </c>
      <c r="P110" s="84">
        <f t="shared" si="250"/>
        <v>0.1825689031188667</v>
      </c>
      <c r="Q110" s="84">
        <f t="shared" si="250"/>
        <v>0.18231962294259829</v>
      </c>
      <c r="R110" s="84">
        <f t="shared" si="250"/>
        <v>0.19576941323438826</v>
      </c>
      <c r="S110" s="84">
        <f t="shared" si="250"/>
        <v>0.2122412439489233</v>
      </c>
      <c r="T110" s="84">
        <f t="shared" si="250"/>
        <v>0.24740722174956178</v>
      </c>
      <c r="U110" s="84">
        <f t="shared" si="250"/>
        <v>0.26298270757280817</v>
      </c>
      <c r="V110" s="84">
        <f t="shared" si="250"/>
        <v>0.26339951302358611</v>
      </c>
      <c r="W110" s="109">
        <f t="shared" si="250"/>
        <v>0.25206812167489734</v>
      </c>
      <c r="X110" s="96">
        <f t="shared" ref="X110" si="251">+X109/X$163</f>
        <v>0.25167650798037539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2">+D109/C109-1</f>
        <v>-5.2793182316633658E-2</v>
      </c>
      <c r="E111" s="85">
        <f t="shared" ref="E111" si="253">+E109/D109-1</f>
        <v>0.17368948108483906</v>
      </c>
      <c r="F111" s="85">
        <f t="shared" ref="F111:J111" si="254">+F109/E109-1</f>
        <v>0.16574198511078486</v>
      </c>
      <c r="G111" s="85">
        <f t="shared" si="254"/>
        <v>8.3960477141249434E-3</v>
      </c>
      <c r="H111" s="85">
        <f t="shared" si="254"/>
        <v>7.2055530170979099E-2</v>
      </c>
      <c r="I111" s="85">
        <f t="shared" si="254"/>
        <v>-0.14180564581124433</v>
      </c>
      <c r="J111" s="111">
        <f t="shared" si="254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55">+Q109/P109-1</f>
        <v>-4.7258524794902113E-2</v>
      </c>
      <c r="R111" s="85">
        <f t="shared" ref="R111" si="256">+R109/Q109-1</f>
        <v>5.4432591446640144E-2</v>
      </c>
      <c r="S111" s="85">
        <f t="shared" ref="S111" si="257">+S109/R109-1</f>
        <v>0.16536411170443599</v>
      </c>
      <c r="T111" s="85">
        <f t="shared" ref="T111" si="258">+T109/S109-1</f>
        <v>0.12124631801093333</v>
      </c>
      <c r="U111" s="85">
        <f t="shared" ref="U111" si="259">+U109/T109-1</f>
        <v>1.3541352976470522E-2</v>
      </c>
      <c r="V111" s="85">
        <f t="shared" ref="V111" si="260">+V109/U109-1</f>
        <v>-6.1285722753342542E-2</v>
      </c>
      <c r="W111" s="111">
        <f t="shared" ref="W111:X111" si="261">+W109/V109-1</f>
        <v>-7.1970436814938088E-2</v>
      </c>
      <c r="X111" s="100">
        <f t="shared" si="261"/>
        <v>4.8307568634746723E-3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62">+C114+1</f>
        <v>2018</v>
      </c>
      <c r="E114" s="82">
        <f t="shared" si="262"/>
        <v>2019</v>
      </c>
      <c r="F114" s="82">
        <f t="shared" si="262"/>
        <v>2020</v>
      </c>
      <c r="G114" s="82">
        <f t="shared" si="262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63">+P114+1</f>
        <v>2018</v>
      </c>
      <c r="R114" s="82">
        <f t="shared" si="263"/>
        <v>2019</v>
      </c>
      <c r="S114" s="82">
        <f t="shared" si="263"/>
        <v>2020</v>
      </c>
      <c r="T114" s="82">
        <f t="shared" ref="T114" si="264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265">+J115/I115-1</f>
        <v>-7.9248605811563788E-3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66">+SUM(C115)+SUM(B116:B126)</f>
        <v>3.7007829999999999</v>
      </c>
      <c r="Q115" s="6">
        <f t="shared" si="266"/>
        <v>4.2568000000000001</v>
      </c>
      <c r="R115" s="6">
        <f t="shared" si="266"/>
        <v>3.9102999999999999</v>
      </c>
      <c r="S115" s="6">
        <f t="shared" si="266"/>
        <v>4.1932999999999998</v>
      </c>
      <c r="T115" s="6">
        <f t="shared" si="266"/>
        <v>4.9743000000000004</v>
      </c>
      <c r="U115" s="6">
        <f t="shared" si="266"/>
        <v>6.6055999999999999</v>
      </c>
      <c r="V115" s="6">
        <f t="shared" si="266"/>
        <v>7.8309999999999995</v>
      </c>
      <c r="W115" s="105">
        <f t="shared" si="266"/>
        <v>7.0416000000000007</v>
      </c>
      <c r="X115" s="90">
        <f t="shared" si="266"/>
        <v>5.5676999999999994</v>
      </c>
      <c r="Y115" s="117">
        <f t="shared" ref="Y115:Y120" si="267">+X115/W115-1</f>
        <v>-0.20931322426721222</v>
      </c>
      <c r="Z115" s="113">
        <f t="shared" ref="Z115:Z120" si="268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" si="269">+J116/I116-1</f>
        <v>-0.11625708884688091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70">+SUM(C115:C116)+SUM(B117:B126)</f>
        <v>3.679983</v>
      </c>
      <c r="Q116" s="6">
        <f t="shared" si="270"/>
        <v>4.3100999999999994</v>
      </c>
      <c r="R116" s="6">
        <f t="shared" si="270"/>
        <v>3.8323</v>
      </c>
      <c r="S116" s="6">
        <f t="shared" si="270"/>
        <v>4.3757000000000001</v>
      </c>
      <c r="T116" s="6">
        <f t="shared" si="270"/>
        <v>4.9860000000000007</v>
      </c>
      <c r="U116" s="6">
        <f t="shared" si="270"/>
        <v>6.7819000000000003</v>
      </c>
      <c r="V116" s="6">
        <f t="shared" si="270"/>
        <v>7.5442999999999998</v>
      </c>
      <c r="W116" s="105">
        <f t="shared" si="270"/>
        <v>7.0170000000000012</v>
      </c>
      <c r="X116" s="90">
        <f t="shared" ref="X116" si="271">+SUM(K115:K116)+SUM(J117:J126)</f>
        <v>5.6508000000000003</v>
      </c>
      <c r="Y116" s="117">
        <f t="shared" si="267"/>
        <v>-0.19469858914065852</v>
      </c>
      <c r="Z116" s="113">
        <f t="shared" si="268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ref="L117" si="272">+J117/I117-1</f>
        <v>9.373828271466067E-2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73">+SUM(C115:C117)+SUM(B118:B126)</f>
        <v>3.7</v>
      </c>
      <c r="Q117" s="6">
        <f t="shared" si="273"/>
        <v>4.2433000000000005</v>
      </c>
      <c r="R117" s="6">
        <f t="shared" si="273"/>
        <v>3.8569999999999998</v>
      </c>
      <c r="S117" s="6">
        <f t="shared" si="273"/>
        <v>4.4382999999999999</v>
      </c>
      <c r="T117" s="6">
        <f t="shared" si="273"/>
        <v>5.1306000000000003</v>
      </c>
      <c r="U117" s="6">
        <f t="shared" si="273"/>
        <v>6.8765000000000001</v>
      </c>
      <c r="V117" s="6">
        <f t="shared" si="273"/>
        <v>7.3372000000000002</v>
      </c>
      <c r="W117" s="105">
        <f t="shared" si="273"/>
        <v>7.0420000000000007</v>
      </c>
      <c r="X117" s="90">
        <f t="shared" ref="X117" si="274">+SUM(K115:K117)+SUM(J118:J126)</f>
        <v>5.7569999999999997</v>
      </c>
      <c r="Y117" s="117">
        <f t="shared" si="267"/>
        <v>-0.1824765691564898</v>
      </c>
      <c r="Z117" s="113">
        <f t="shared" si="268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ref="L118" si="275">+J118/I118-1</f>
        <v>-0.63606613847743709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76">+SUM(C115:C118)+SUM(B119:B126)</f>
        <v>3.7492999999999999</v>
      </c>
      <c r="Q118" s="6">
        <f t="shared" si="276"/>
        <v>4.1139000000000001</v>
      </c>
      <c r="R118" s="6">
        <f t="shared" si="276"/>
        <v>4.0587999999999997</v>
      </c>
      <c r="S118" s="6">
        <f t="shared" si="276"/>
        <v>4.4815000000000005</v>
      </c>
      <c r="T118" s="6">
        <f t="shared" si="276"/>
        <v>5.2222999999999997</v>
      </c>
      <c r="U118" s="6">
        <f t="shared" si="276"/>
        <v>6.9620999999999995</v>
      </c>
      <c r="V118" s="6">
        <f t="shared" si="276"/>
        <v>7.4014000000000006</v>
      </c>
      <c r="W118" s="105">
        <f t="shared" si="276"/>
        <v>6.6727000000000007</v>
      </c>
      <c r="X118" s="90">
        <f t="shared" ref="X118" si="277">+SUM(K115:K118)+SUM(J119:J126)</f>
        <v>5.9744999999999999</v>
      </c>
      <c r="Y118" s="117">
        <f t="shared" si="267"/>
        <v>-0.10463530504893082</v>
      </c>
      <c r="Z118" s="113">
        <f t="shared" si="268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ref="L119" si="278">+J119/I119-1</f>
        <v>-0.43490909090909091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279">+SUM(C115:C119)+SUM(B120:B126)</f>
        <v>3.8315999999999999</v>
      </c>
      <c r="Q119" s="6">
        <f t="shared" si="279"/>
        <v>4.2587000000000002</v>
      </c>
      <c r="R119" s="6">
        <f t="shared" si="279"/>
        <v>3.9379999999999997</v>
      </c>
      <c r="S119" s="6">
        <f t="shared" si="279"/>
        <v>4.4656000000000002</v>
      </c>
      <c r="T119" s="6">
        <f t="shared" si="279"/>
        <v>5.4170999999999996</v>
      </c>
      <c r="U119" s="6">
        <f t="shared" si="279"/>
        <v>7.0746000000000002</v>
      </c>
      <c r="V119" s="6">
        <f t="shared" si="279"/>
        <v>7.3878000000000013</v>
      </c>
      <c r="W119" s="105">
        <f t="shared" si="279"/>
        <v>6.4335000000000004</v>
      </c>
      <c r="X119" s="90">
        <f t="shared" ref="X119" si="280">+SUM(K115:K119)+SUM(J120:J126)</f>
        <v>5.9544999999999995</v>
      </c>
      <c r="Y119" s="117">
        <f t="shared" si="267"/>
        <v>-7.4454029688350243E-2</v>
      </c>
      <c r="Z119" s="113">
        <f t="shared" si="268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ref="L120" si="281">+J120/I120-1</f>
        <v>-0.18285181733457589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282">+SUM(C115:C120)+SUM(B121:B126)</f>
        <v>3.8651</v>
      </c>
      <c r="Q120" s="6">
        <f t="shared" si="282"/>
        <v>4.2109000000000005</v>
      </c>
      <c r="R120" s="6">
        <f t="shared" si="282"/>
        <v>4.0318000000000005</v>
      </c>
      <c r="S120" s="6">
        <f t="shared" si="282"/>
        <v>4.5454000000000008</v>
      </c>
      <c r="T120" s="6">
        <f t="shared" si="282"/>
        <v>5.4786999999999999</v>
      </c>
      <c r="U120" s="6">
        <f t="shared" si="282"/>
        <v>7.3133999999999997</v>
      </c>
      <c r="V120" s="6">
        <f t="shared" si="282"/>
        <v>7.2397000000000009</v>
      </c>
      <c r="W120" s="105">
        <f t="shared" si="282"/>
        <v>6.3353999999999999</v>
      </c>
      <c r="X120" s="90">
        <f t="shared" ref="X120" si="283">+SUM(K115:K120)+SUM(J121:J126)</f>
        <v>5.8469999999999995</v>
      </c>
      <c r="Y120" s="117">
        <f t="shared" si="267"/>
        <v>-7.7090633582725721E-2</v>
      </c>
      <c r="Z120" s="113">
        <f t="shared" si="268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/>
      <c r="L121" s="91"/>
      <c r="M121" s="2"/>
      <c r="N121" s="89" t="s">
        <v>4</v>
      </c>
      <c r="O121" s="104">
        <f>+'[2]CONSUMO EN ARGENTINA POR COLOR'!I1161*9</f>
        <v>4.035037</v>
      </c>
      <c r="P121" s="6">
        <f t="shared" ref="P121:W121" si="284">+SUM(C115:C121)+SUM(B122:B126)</f>
        <v>3.7990000000000004</v>
      </c>
      <c r="Q121" s="6">
        <f t="shared" si="284"/>
        <v>4.3432000000000004</v>
      </c>
      <c r="R121" s="6">
        <f t="shared" si="284"/>
        <v>4.0585000000000004</v>
      </c>
      <c r="S121" s="6">
        <f t="shared" si="284"/>
        <v>4.4793000000000003</v>
      </c>
      <c r="T121" s="6">
        <f t="shared" si="284"/>
        <v>5.8956</v>
      </c>
      <c r="U121" s="6">
        <f t="shared" si="284"/>
        <v>7.2085000000000008</v>
      </c>
      <c r="V121" s="6">
        <f t="shared" si="284"/>
        <v>7.2786</v>
      </c>
      <c r="W121" s="105">
        <f t="shared" si="284"/>
        <v>6.0618999999999996</v>
      </c>
      <c r="X121" s="90"/>
      <c r="Y121" s="117"/>
      <c r="Z121" s="113"/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/>
      <c r="L122" s="91"/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285">+SUM(C115:C122)+SUM(B123:B126)</f>
        <v>3.8681000000000001</v>
      </c>
      <c r="Q122" s="6">
        <f t="shared" si="285"/>
        <v>4.5524000000000004</v>
      </c>
      <c r="R122" s="6">
        <f t="shared" si="285"/>
        <v>4.0091000000000001</v>
      </c>
      <c r="S122" s="6">
        <f t="shared" si="285"/>
        <v>4.3951000000000002</v>
      </c>
      <c r="T122" s="6">
        <f t="shared" si="285"/>
        <v>6.1453000000000007</v>
      </c>
      <c r="U122" s="6">
        <f t="shared" si="285"/>
        <v>7.4749999999999996</v>
      </c>
      <c r="V122" s="6">
        <f t="shared" si="285"/>
        <v>7.1536</v>
      </c>
      <c r="W122" s="105">
        <f t="shared" si="285"/>
        <v>5.7950999999999997</v>
      </c>
      <c r="X122" s="90"/>
      <c r="Y122" s="117"/>
      <c r="Z122" s="113"/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/>
      <c r="L123" s="91"/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286">+SUM(C115:C123)+SUM(B124:B126)</f>
        <v>3.7401</v>
      </c>
      <c r="Q123" s="6">
        <f t="shared" si="286"/>
        <v>4.5235000000000003</v>
      </c>
      <c r="R123" s="6">
        <f t="shared" si="286"/>
        <v>3.9356999999999998</v>
      </c>
      <c r="S123" s="6">
        <f t="shared" si="286"/>
        <v>4.43</v>
      </c>
      <c r="T123" s="6">
        <f t="shared" si="286"/>
        <v>6.4730000000000008</v>
      </c>
      <c r="U123" s="6">
        <f t="shared" si="286"/>
        <v>7.6507000000000005</v>
      </c>
      <c r="V123" s="6">
        <f t="shared" si="286"/>
        <v>7.1013000000000002</v>
      </c>
      <c r="W123" s="67">
        <f t="shared" si="286"/>
        <v>5.7355999999999998</v>
      </c>
      <c r="X123" s="37"/>
      <c r="Y123" s="78"/>
      <c r="Z123" s="7"/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/>
      <c r="L124" s="91"/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287">+SUM(C115:C124)+SUM(B125:B126)</f>
        <v>4.0316999999999998</v>
      </c>
      <c r="Q124" s="6">
        <f t="shared" si="287"/>
        <v>4.5227000000000004</v>
      </c>
      <c r="R124" s="6">
        <f t="shared" si="287"/>
        <v>3.5801999999999996</v>
      </c>
      <c r="S124" s="6">
        <f t="shared" si="287"/>
        <v>4.7496</v>
      </c>
      <c r="T124" s="6">
        <f t="shared" si="287"/>
        <v>6.5540000000000003</v>
      </c>
      <c r="U124" s="6">
        <f t="shared" si="287"/>
        <v>7.7708999999999993</v>
      </c>
      <c r="V124" s="6">
        <f t="shared" si="287"/>
        <v>7.2581000000000007</v>
      </c>
      <c r="W124" s="105">
        <f t="shared" si="287"/>
        <v>5.2859999999999996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288">+SUM(C115:C125)+SUM(B126)</f>
        <v>4.1616999999999997</v>
      </c>
      <c r="Q125" s="6">
        <f t="shared" si="288"/>
        <v>4.3021000000000003</v>
      </c>
      <c r="R125" s="6">
        <f t="shared" si="288"/>
        <v>3.6025999999999994</v>
      </c>
      <c r="S125" s="6">
        <f t="shared" si="288"/>
        <v>5.0039999999999996</v>
      </c>
      <c r="T125" s="6">
        <f t="shared" si="288"/>
        <v>6.5703000000000005</v>
      </c>
      <c r="U125" s="6">
        <f t="shared" si="288"/>
        <v>7.9078999999999997</v>
      </c>
      <c r="V125" s="6">
        <f t="shared" si="288"/>
        <v>7.118100000000001</v>
      </c>
      <c r="W125" s="105">
        <f t="shared" si="288"/>
        <v>5.2672999999999996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289">+SUM(C115:C126)</f>
        <v>4.2797999999999998</v>
      </c>
      <c r="Q126" s="6">
        <f t="shared" si="289"/>
        <v>4.0048000000000004</v>
      </c>
      <c r="R126" s="6">
        <f t="shared" si="289"/>
        <v>3.9343999999999997</v>
      </c>
      <c r="S126" s="6">
        <f t="shared" si="289"/>
        <v>5.0224000000000002</v>
      </c>
      <c r="T126" s="6">
        <f t="shared" si="289"/>
        <v>6.6241000000000003</v>
      </c>
      <c r="U126" s="6">
        <f t="shared" si="289"/>
        <v>7.8365999999999998</v>
      </c>
      <c r="V126" s="6">
        <f t="shared" ref="V126:W126" si="290">+SUM(I115:I126)</f>
        <v>7.0443000000000007</v>
      </c>
      <c r="W126" s="105">
        <f t="shared" si="290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291">SUM(C115:C126)</f>
        <v>4.2797999999999998</v>
      </c>
      <c r="D127" s="83">
        <f t="shared" ref="D127" si="292">SUM(D115:D126)</f>
        <v>4.0048000000000004</v>
      </c>
      <c r="E127" s="83">
        <f t="shared" ref="E127" si="293">SUM(E115:E126)</f>
        <v>3.9343999999999997</v>
      </c>
      <c r="F127" s="83">
        <f t="shared" ref="F127:H127" si="294">SUM(F115:F126)</f>
        <v>5.0224000000000002</v>
      </c>
      <c r="G127" s="83">
        <f t="shared" si="294"/>
        <v>6.6241000000000003</v>
      </c>
      <c r="H127" s="83">
        <f t="shared" si="294"/>
        <v>7.8365999999999998</v>
      </c>
      <c r="I127" s="83">
        <f t="shared" ref="I127:J127" si="295">SUM(I115:I126)</f>
        <v>7.0443000000000007</v>
      </c>
      <c r="J127" s="107">
        <f t="shared" si="295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296">+AVERAGE(Q115:Q126)</f>
        <v>4.3035333333333341</v>
      </c>
      <c r="R127" s="83">
        <f t="shared" ref="R127" si="297">+AVERAGE(R115:R126)</f>
        <v>3.8957250000000001</v>
      </c>
      <c r="S127" s="83">
        <f t="shared" ref="S127:X127" si="298">+AVERAGE(S115:S126)</f>
        <v>4.5483500000000001</v>
      </c>
      <c r="T127" s="83">
        <f t="shared" si="298"/>
        <v>5.7892749999999999</v>
      </c>
      <c r="U127" s="83">
        <f t="shared" si="298"/>
        <v>7.2886416666666669</v>
      </c>
      <c r="V127" s="83">
        <f t="shared" si="298"/>
        <v>7.3079499999999991</v>
      </c>
      <c r="W127" s="107">
        <f t="shared" si="298"/>
        <v>6.177175000000001</v>
      </c>
      <c r="X127" s="93">
        <f t="shared" si="298"/>
        <v>5.7919166666666655</v>
      </c>
      <c r="Y127" s="119">
        <f>+X127/W127-1</f>
        <v>-6.236804580303057E-2</v>
      </c>
      <c r="Z127" s="173">
        <f>+POWER(X127/S127,0.2)-1</f>
        <v>4.9527168987924863E-2</v>
      </c>
    </row>
    <row r="128" spans="1:26" ht="25.5" x14ac:dyDescent="0.25">
      <c r="A128" s="95" t="s">
        <v>15</v>
      </c>
      <c r="B128" s="108">
        <f t="shared" ref="B128:H128" si="299">+B127/B$163</f>
        <v>3.8118502014574604E-3</v>
      </c>
      <c r="C128" s="84">
        <f t="shared" si="299"/>
        <v>4.7952779990655496E-3</v>
      </c>
      <c r="D128" s="84">
        <f t="shared" si="299"/>
        <v>4.7698784936340676E-3</v>
      </c>
      <c r="E128" s="84">
        <f t="shared" si="299"/>
        <v>4.4443475487916367E-3</v>
      </c>
      <c r="F128" s="84">
        <f t="shared" si="299"/>
        <v>5.3261740775752417E-3</v>
      </c>
      <c r="G128" s="84">
        <f t="shared" si="299"/>
        <v>7.903754154956583E-3</v>
      </c>
      <c r="H128" s="84">
        <f t="shared" si="299"/>
        <v>9.4689550558729497E-3</v>
      </c>
      <c r="I128" s="84">
        <f t="shared" ref="I128:J128" si="300">+I127/I$163</f>
        <v>9.0863686798316259E-3</v>
      </c>
      <c r="J128" s="109">
        <f t="shared" si="300"/>
        <v>7.1305633648970643E-3</v>
      </c>
      <c r="K128" s="109"/>
      <c r="L128" s="97"/>
      <c r="M128" s="3"/>
      <c r="N128" s="95" t="s">
        <v>15</v>
      </c>
      <c r="O128" s="108">
        <f t="shared" ref="O128:W128" si="301">+O127/O$163</f>
        <v>3.8402568290348727E-3</v>
      </c>
      <c r="P128" s="84">
        <f t="shared" si="301"/>
        <v>4.2394889105974859E-3</v>
      </c>
      <c r="Q128" s="84">
        <f t="shared" si="301"/>
        <v>4.9450012908687909E-3</v>
      </c>
      <c r="R128" s="84">
        <f t="shared" si="301"/>
        <v>4.5585018413739223E-3</v>
      </c>
      <c r="S128" s="84">
        <f t="shared" si="301"/>
        <v>4.951206303746087E-3</v>
      </c>
      <c r="T128" s="84">
        <f t="shared" si="301"/>
        <v>6.5518340057569048E-3</v>
      </c>
      <c r="U128" s="84">
        <f t="shared" si="301"/>
        <v>8.6508474291953005E-3</v>
      </c>
      <c r="V128" s="84">
        <f t="shared" si="301"/>
        <v>9.2546920583991762E-3</v>
      </c>
      <c r="W128" s="109">
        <f t="shared" si="301"/>
        <v>8.0667288039007346E-3</v>
      </c>
      <c r="X128" s="96">
        <f t="shared" ref="X128" si="302">+X127/X$163</f>
        <v>7.5155659565114604E-3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3">+D127/C127-1</f>
        <v>-6.4255339034534176E-2</v>
      </c>
      <c r="E129" s="85">
        <f t="shared" ref="E129" si="304">+E127/D127-1</f>
        <v>-1.7578905313623827E-2</v>
      </c>
      <c r="F129" s="85">
        <f t="shared" ref="F129:J129" si="305">+F127/E127-1</f>
        <v>0.27653517690117946</v>
      </c>
      <c r="G129" s="85">
        <f t="shared" si="305"/>
        <v>0.3189112774769034</v>
      </c>
      <c r="H129" s="85">
        <f t="shared" si="305"/>
        <v>0.18304373424314235</v>
      </c>
      <c r="I129" s="85">
        <f t="shared" si="305"/>
        <v>-0.10110251894954436</v>
      </c>
      <c r="J129" s="111">
        <f t="shared" si="305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06">+Q127/P127-1</f>
        <v>0.11281089648956399</v>
      </c>
      <c r="R129" s="85">
        <f t="shared" ref="R129" si="307">+R127/Q127-1</f>
        <v>-9.4761281427664268E-2</v>
      </c>
      <c r="S129" s="85">
        <f t="shared" ref="S129" si="308">+S127/R127-1</f>
        <v>0.16752337498155034</v>
      </c>
      <c r="T129" s="85">
        <f t="shared" ref="T129" si="309">+T127/S127-1</f>
        <v>0.2728297074763375</v>
      </c>
      <c r="U129" s="85">
        <f t="shared" ref="U129" si="310">+U127/T127-1</f>
        <v>0.25899040323126243</v>
      </c>
      <c r="V129" s="85">
        <f t="shared" ref="V129" si="311">+V127/U127-1</f>
        <v>2.6490989976410972E-3</v>
      </c>
      <c r="W129" s="111">
        <f t="shared" ref="W129:X129" si="312">+W127/V127-1</f>
        <v>-0.15473217523382043</v>
      </c>
      <c r="X129" s="100">
        <f t="shared" si="312"/>
        <v>-6.236804580303057E-2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13">+C132+1</f>
        <v>2018</v>
      </c>
      <c r="E132" s="82">
        <f t="shared" si="313"/>
        <v>2019</v>
      </c>
      <c r="F132" s="82">
        <f t="shared" si="313"/>
        <v>2020</v>
      </c>
      <c r="G132" s="82">
        <f t="shared" si="313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14">+P132+1</f>
        <v>2018</v>
      </c>
      <c r="R132" s="82">
        <f t="shared" si="314"/>
        <v>2019</v>
      </c>
      <c r="S132" s="82">
        <f t="shared" si="314"/>
        <v>2020</v>
      </c>
      <c r="T132" s="82">
        <f t="shared" ref="T132" si="315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 t="shared" ref="L133" si="316">+J133/I133-1</f>
        <v>-0.11470424586477546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17">+SUM(C133)+SUM(B134:B144)</f>
        <v>697.25278299999991</v>
      </c>
      <c r="Q133" s="6">
        <f t="shared" si="317"/>
        <v>655.57489999999984</v>
      </c>
      <c r="R133" s="6">
        <f t="shared" si="317"/>
        <v>631.26509999999996</v>
      </c>
      <c r="S133" s="6">
        <f t="shared" si="317"/>
        <v>683.58280000000002</v>
      </c>
      <c r="T133" s="6">
        <f t="shared" si="317"/>
        <v>731.38429999999994</v>
      </c>
      <c r="U133" s="6">
        <f t="shared" si="317"/>
        <v>611.74720000000002</v>
      </c>
      <c r="V133" s="6">
        <f t="shared" si="317"/>
        <v>595.53499999999997</v>
      </c>
      <c r="W133" s="105">
        <f t="shared" si="317"/>
        <v>556.24479999999994</v>
      </c>
      <c r="X133" s="90">
        <f t="shared" si="317"/>
        <v>565.16499999999996</v>
      </c>
      <c r="Y133" s="117">
        <f t="shared" ref="Y133:Y138" si="318">+X133/W133-1</f>
        <v>1.6036464520657212E-2</v>
      </c>
      <c r="Z133" s="113">
        <f t="shared" ref="Z133:Z138" si="319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" si="320">+J134/I134-1</f>
        <v>5.6460564348836062E-2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21">+SUM(C133:C134)+SUM(B135:B144)</f>
        <v>691.59158300000001</v>
      </c>
      <c r="Q134" s="6">
        <f t="shared" si="321"/>
        <v>653.58170000000007</v>
      </c>
      <c r="R134" s="6">
        <f t="shared" si="321"/>
        <v>634.23189999999988</v>
      </c>
      <c r="S134" s="6">
        <f t="shared" si="321"/>
        <v>689.30270000000007</v>
      </c>
      <c r="T134" s="6">
        <f t="shared" si="321"/>
        <v>723.08169999999996</v>
      </c>
      <c r="U134" s="6">
        <f t="shared" si="321"/>
        <v>608.92579999999998</v>
      </c>
      <c r="V134" s="6">
        <f t="shared" si="321"/>
        <v>591.87930000000006</v>
      </c>
      <c r="W134" s="105">
        <f t="shared" si="321"/>
        <v>558.22350000000006</v>
      </c>
      <c r="X134" s="90">
        <f t="shared" ref="X134" si="322">+SUM(K133:K134)+SUM(J135:J144)</f>
        <v>566.76149999999996</v>
      </c>
      <c r="Y134" s="117">
        <f t="shared" si="318"/>
        <v>1.5294949066099628E-2</v>
      </c>
      <c r="Z134" s="113">
        <f t="shared" si="319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ref="L135" si="323">+J135/I135-1</f>
        <v>-9.2467502839316928E-2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24">+SUM(C133:C135)+SUM(B136:B144)</f>
        <v>686.51729999999998</v>
      </c>
      <c r="Q135" s="6">
        <f t="shared" si="324"/>
        <v>651.63639999999998</v>
      </c>
      <c r="R135" s="6">
        <f t="shared" si="324"/>
        <v>636.48739999999998</v>
      </c>
      <c r="S135" s="6">
        <f t="shared" si="324"/>
        <v>687.89960000000008</v>
      </c>
      <c r="T135" s="6">
        <f t="shared" si="324"/>
        <v>715.50449999999989</v>
      </c>
      <c r="U135" s="6">
        <f t="shared" si="324"/>
        <v>616.3143</v>
      </c>
      <c r="V135" s="6">
        <f t="shared" si="324"/>
        <v>582.42740000000003</v>
      </c>
      <c r="W135" s="105">
        <f t="shared" si="324"/>
        <v>554.49459999999999</v>
      </c>
      <c r="X135" s="90">
        <f t="shared" ref="X135" si="325">+SUM(K133:K135)+SUM(J136:J144)</f>
        <v>572.41599999999994</v>
      </c>
      <c r="Y135" s="117">
        <f t="shared" si="318"/>
        <v>3.2320242613724126E-2</v>
      </c>
      <c r="Z135" s="113">
        <f t="shared" si="319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ref="L136" si="326">+J136/I136-1</f>
        <v>-9.5415197020751852E-2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27">+SUM(C133:C136)+SUM(B137:B144)</f>
        <v>674.09159999999997</v>
      </c>
      <c r="Q136" s="6">
        <f t="shared" si="327"/>
        <v>653.19950000000006</v>
      </c>
      <c r="R136" s="6">
        <f t="shared" si="327"/>
        <v>638.07029999999997</v>
      </c>
      <c r="S136" s="6">
        <f t="shared" si="327"/>
        <v>690.976</v>
      </c>
      <c r="T136" s="6">
        <f t="shared" si="327"/>
        <v>706.69879999999989</v>
      </c>
      <c r="U136" s="6">
        <f t="shared" si="327"/>
        <v>616.83010000000002</v>
      </c>
      <c r="V136" s="6">
        <f t="shared" si="327"/>
        <v>577.94450000000006</v>
      </c>
      <c r="W136" s="105">
        <f t="shared" si="327"/>
        <v>550.61809999999991</v>
      </c>
      <c r="X136" s="90">
        <f t="shared" ref="X136" si="328">+SUM(K133:K136)+SUM(J137:J144)</f>
        <v>578.49639999999999</v>
      </c>
      <c r="Y136" s="117">
        <f t="shared" si="318"/>
        <v>5.063091823534327E-2</v>
      </c>
      <c r="Z136" s="113">
        <f t="shared" si="319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ref="L137" si="329">+J137/I137-1</f>
        <v>0.11815433172032885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30">+SUM(C133:C137)+SUM(B138:B144)</f>
        <v>673.96900000000005</v>
      </c>
      <c r="Q137" s="6">
        <f t="shared" si="330"/>
        <v>655.22910000000002</v>
      </c>
      <c r="R137" s="6">
        <f t="shared" si="330"/>
        <v>640.73990000000003</v>
      </c>
      <c r="S137" s="6">
        <f t="shared" si="330"/>
        <v>693.70309999999995</v>
      </c>
      <c r="T137" s="6">
        <f t="shared" si="330"/>
        <v>684.91159999999991</v>
      </c>
      <c r="U137" s="6">
        <f t="shared" si="330"/>
        <v>619.22710000000006</v>
      </c>
      <c r="V137" s="6">
        <f t="shared" si="330"/>
        <v>574.56790000000001</v>
      </c>
      <c r="W137" s="105">
        <f t="shared" si="330"/>
        <v>555.69439999999997</v>
      </c>
      <c r="X137" s="90">
        <f t="shared" ref="X137" si="331">+SUM(K133:K137)+SUM(J138:J144)</f>
        <v>577.66250000000002</v>
      </c>
      <c r="Y137" s="117">
        <f t="shared" si="318"/>
        <v>3.9532699987619102E-2</v>
      </c>
      <c r="Z137" s="113">
        <f t="shared" si="319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ref="L138" si="332">+J138/I138-1</f>
        <v>-0.10993800134927645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33">+SUM(C133:C138)+SUM(B139:B144)</f>
        <v>681.71759999999995</v>
      </c>
      <c r="Q138" s="6">
        <f t="shared" si="333"/>
        <v>649.70090000000005</v>
      </c>
      <c r="R138" s="6">
        <f t="shared" si="333"/>
        <v>637.2847999999999</v>
      </c>
      <c r="S138" s="6">
        <f t="shared" si="333"/>
        <v>711.49679999999989</v>
      </c>
      <c r="T138" s="6">
        <f t="shared" si="333"/>
        <v>674.49809999999991</v>
      </c>
      <c r="U138" s="6">
        <f t="shared" si="333"/>
        <v>609.24590000000001</v>
      </c>
      <c r="V138" s="6">
        <f t="shared" si="333"/>
        <v>570.2962</v>
      </c>
      <c r="W138" s="105">
        <f t="shared" si="333"/>
        <v>550.20270000000005</v>
      </c>
      <c r="X138" s="90">
        <f t="shared" ref="X138" si="334">+SUM(K133:K138)+SUM(J139:J144)</f>
        <v>576.10329999999999</v>
      </c>
      <c r="Y138" s="117">
        <f t="shared" si="318"/>
        <v>4.7074650851404387E-2</v>
      </c>
      <c r="Z138" s="113">
        <f t="shared" si="319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/>
      <c r="L139" s="91"/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35">+SUM(C133:C139)+SUM(B140:B144)</f>
        <v>681.94039999999995</v>
      </c>
      <c r="Q139" s="6">
        <f t="shared" si="335"/>
        <v>646.28219999999999</v>
      </c>
      <c r="R139" s="6">
        <f t="shared" si="335"/>
        <v>641.1345</v>
      </c>
      <c r="S139" s="6">
        <f t="shared" si="335"/>
        <v>730.20589999999993</v>
      </c>
      <c r="T139" s="6">
        <f t="shared" si="335"/>
        <v>652.47779999999989</v>
      </c>
      <c r="U139" s="6">
        <f t="shared" si="335"/>
        <v>610.35979999999995</v>
      </c>
      <c r="V139" s="6">
        <f t="shared" si="335"/>
        <v>566.53379999999993</v>
      </c>
      <c r="W139" s="105">
        <f t="shared" si="335"/>
        <v>553.32600000000002</v>
      </c>
      <c r="X139" s="90"/>
      <c r="Y139" s="117"/>
      <c r="Z139" s="113"/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/>
      <c r="L140" s="91"/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36">+SUM(C133:C140)+SUM(B141:B144)</f>
        <v>675.27559999999994</v>
      </c>
      <c r="Q140" s="6">
        <f t="shared" si="336"/>
        <v>644.26980000000003</v>
      </c>
      <c r="R140" s="6">
        <f t="shared" si="336"/>
        <v>646.35879999999997</v>
      </c>
      <c r="S140" s="6">
        <f t="shared" si="336"/>
        <v>734.0797</v>
      </c>
      <c r="T140" s="6">
        <f t="shared" si="336"/>
        <v>644.6262999999999</v>
      </c>
      <c r="U140" s="6">
        <f t="shared" si="336"/>
        <v>611.08950000000004</v>
      </c>
      <c r="V140" s="6">
        <f t="shared" si="336"/>
        <v>564.68769999999995</v>
      </c>
      <c r="W140" s="105">
        <f t="shared" si="336"/>
        <v>554.12239999999997</v>
      </c>
      <c r="X140" s="90"/>
      <c r="Y140" s="117"/>
      <c r="Z140" s="113"/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/>
      <c r="L141" s="91"/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37">+SUM(C133:C141)+SUM(B142:B144)</f>
        <v>665.99680000000001</v>
      </c>
      <c r="Q141" s="6">
        <f t="shared" si="337"/>
        <v>639.72209999999995</v>
      </c>
      <c r="R141" s="6">
        <f t="shared" si="337"/>
        <v>652.80780000000004</v>
      </c>
      <c r="S141" s="6">
        <f t="shared" si="337"/>
        <v>738.96499999999992</v>
      </c>
      <c r="T141" s="6">
        <f t="shared" si="337"/>
        <v>634.83539999999994</v>
      </c>
      <c r="U141" s="6">
        <f t="shared" si="337"/>
        <v>610.46349999999995</v>
      </c>
      <c r="V141" s="6">
        <f t="shared" si="337"/>
        <v>560.82190000000003</v>
      </c>
      <c r="W141" s="67">
        <f t="shared" si="337"/>
        <v>555.87270000000001</v>
      </c>
      <c r="X141" s="37"/>
      <c r="Y141" s="78"/>
      <c r="Z141" s="7"/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38">+SUM(C133:C142)+SUM(B143:B144)</f>
        <v>661.5489</v>
      </c>
      <c r="Q142" s="6">
        <f t="shared" si="338"/>
        <v>635.87239999999997</v>
      </c>
      <c r="R142" s="6">
        <f t="shared" si="338"/>
        <v>663.65530000000001</v>
      </c>
      <c r="S142" s="6">
        <f t="shared" si="338"/>
        <v>739.30909999999994</v>
      </c>
      <c r="T142" s="6">
        <f t="shared" si="338"/>
        <v>622.35649999999998</v>
      </c>
      <c r="U142" s="6">
        <f t="shared" si="338"/>
        <v>614.96949999999993</v>
      </c>
      <c r="V142" s="6">
        <f t="shared" si="338"/>
        <v>559.26279999999997</v>
      </c>
      <c r="W142" s="105">
        <f t="shared" si="338"/>
        <v>553.33140000000003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39">+SUM(C133:C143)+SUM(B144)</f>
        <v>661.96240000000012</v>
      </c>
      <c r="Q143" s="6">
        <f t="shared" si="339"/>
        <v>627.56599999999992</v>
      </c>
      <c r="R143" s="6">
        <f t="shared" si="339"/>
        <v>671.32010000000002</v>
      </c>
      <c r="S143" s="6">
        <f t="shared" si="339"/>
        <v>738.0902000000001</v>
      </c>
      <c r="T143" s="6">
        <f t="shared" si="339"/>
        <v>620.80269999999996</v>
      </c>
      <c r="U143" s="6">
        <f t="shared" si="339"/>
        <v>611.30289999999991</v>
      </c>
      <c r="V143" s="6">
        <f t="shared" si="339"/>
        <v>556.71900000000005</v>
      </c>
      <c r="W143" s="105">
        <f t="shared" si="339"/>
        <v>557.1866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40">+SUM(C133:C144)</f>
        <v>656.03910000000008</v>
      </c>
      <c r="Q144" s="6">
        <f t="shared" si="340"/>
        <v>629.16319999999996</v>
      </c>
      <c r="R144" s="6">
        <f t="shared" si="340"/>
        <v>675.61430000000007</v>
      </c>
      <c r="S144" s="6">
        <f t="shared" si="340"/>
        <v>738.24670000000003</v>
      </c>
      <c r="T144" s="6">
        <f t="shared" si="340"/>
        <v>619.30179999999996</v>
      </c>
      <c r="U144" s="6">
        <f t="shared" si="340"/>
        <v>595.64799999999991</v>
      </c>
      <c r="V144" s="6">
        <f t="shared" ref="V144:W144" si="341">+SUM(I133:I144)</f>
        <v>560.71830000000011</v>
      </c>
      <c r="W144" s="105">
        <f t="shared" si="341"/>
        <v>558.20009999999991</v>
      </c>
      <c r="X144" s="90"/>
      <c r="Y144" s="117"/>
      <c r="Z144" s="113"/>
    </row>
    <row r="145" spans="1:26" ht="25.5" x14ac:dyDescent="0.25">
      <c r="A145" s="92" t="s">
        <v>13</v>
      </c>
      <c r="B145" s="106">
        <f>SUM(B133:B144)</f>
        <v>706.77658300000007</v>
      </c>
      <c r="C145" s="83">
        <f t="shared" ref="C145" si="342">SUM(C133:C144)</f>
        <v>656.03910000000008</v>
      </c>
      <c r="D145" s="83">
        <f t="shared" ref="D145" si="343">SUM(D133:D144)</f>
        <v>629.16319999999996</v>
      </c>
      <c r="E145" s="83">
        <f t="shared" ref="E145" si="344">SUM(E133:E144)</f>
        <v>675.61430000000007</v>
      </c>
      <c r="F145" s="83">
        <f t="shared" ref="F145:H145" si="345">SUM(F133:F144)</f>
        <v>738.24670000000003</v>
      </c>
      <c r="G145" s="83">
        <f t="shared" si="345"/>
        <v>619.30179999999996</v>
      </c>
      <c r="H145" s="83">
        <f t="shared" si="345"/>
        <v>595.64799999999991</v>
      </c>
      <c r="I145" s="83">
        <f t="shared" ref="I145:J145" si="346">SUM(I133:I144)</f>
        <v>560.71830000000011</v>
      </c>
      <c r="J145" s="107">
        <f t="shared" si="346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47">+AVERAGE(Q133:Q144)</f>
        <v>645.1498499999999</v>
      </c>
      <c r="R145" s="83">
        <f t="shared" ref="R145" si="348">+AVERAGE(R133:R144)</f>
        <v>647.41418333333331</v>
      </c>
      <c r="S145" s="83">
        <f t="shared" ref="S145:X145" si="349">+AVERAGE(S133:S144)</f>
        <v>714.65480000000014</v>
      </c>
      <c r="T145" s="83">
        <f t="shared" si="349"/>
        <v>669.20662499999992</v>
      </c>
      <c r="U145" s="83">
        <f t="shared" si="349"/>
        <v>611.34363333333329</v>
      </c>
      <c r="V145" s="83">
        <f t="shared" si="349"/>
        <v>571.78281666666669</v>
      </c>
      <c r="W145" s="107">
        <f t="shared" si="349"/>
        <v>554.79310833333341</v>
      </c>
      <c r="X145" s="93">
        <f t="shared" si="349"/>
        <v>572.76744999999994</v>
      </c>
      <c r="Y145" s="119">
        <f>+X145/W145-1</f>
        <v>3.2398278559486293E-2</v>
      </c>
      <c r="Z145" s="173">
        <f>+POWER(X145/S145,0.2)-1</f>
        <v>-4.329861460222173E-2</v>
      </c>
    </row>
    <row r="146" spans="1:26" ht="25.5" x14ac:dyDescent="0.25">
      <c r="A146" s="95" t="s">
        <v>15</v>
      </c>
      <c r="B146" s="108">
        <f t="shared" ref="B146:H146" si="350">+B145/B$163</f>
        <v>0.75058205276337631</v>
      </c>
      <c r="C146" s="84">
        <f t="shared" si="350"/>
        <v>0.73505534435178388</v>
      </c>
      <c r="D146" s="84">
        <f t="shared" si="350"/>
        <v>0.74935877363813153</v>
      </c>
      <c r="E146" s="84">
        <f t="shared" si="350"/>
        <v>0.76318238057482157</v>
      </c>
      <c r="F146" s="84">
        <f t="shared" si="350"/>
        <v>0.78289870109817339</v>
      </c>
      <c r="G146" s="84">
        <f t="shared" si="350"/>
        <v>0.73893950497759553</v>
      </c>
      <c r="H146" s="84">
        <f t="shared" si="350"/>
        <v>0.71972081529242393</v>
      </c>
      <c r="I146" s="84">
        <f t="shared" ref="I146:J146" si="351">+I145/I$163</f>
        <v>0.72326465359630254</v>
      </c>
      <c r="J146" s="109">
        <f t="shared" si="351"/>
        <v>0.73193843018423643</v>
      </c>
      <c r="K146" s="109"/>
      <c r="L146" s="97"/>
      <c r="M146" s="3"/>
      <c r="N146" s="95" t="s">
        <v>15</v>
      </c>
      <c r="O146" s="108">
        <f t="shared" ref="O146:W146" si="352">+O145/O$163</f>
        <v>0.76452441118916581</v>
      </c>
      <c r="P146" s="84">
        <f t="shared" si="352"/>
        <v>0.74069089106855523</v>
      </c>
      <c r="Q146" s="84">
        <f t="shared" si="352"/>
        <v>0.74131337994836943</v>
      </c>
      <c r="R146" s="84">
        <f t="shared" si="352"/>
        <v>0.75755828423633453</v>
      </c>
      <c r="S146" s="84">
        <f t="shared" si="352"/>
        <v>0.7779531809914364</v>
      </c>
      <c r="T146" s="84">
        <f t="shared" si="352"/>
        <v>0.7573540249086127</v>
      </c>
      <c r="U146" s="84">
        <f t="shared" si="352"/>
        <v>0.72560028886634076</v>
      </c>
      <c r="V146" s="84">
        <f t="shared" si="352"/>
        <v>0.72409826182911941</v>
      </c>
      <c r="W146" s="109">
        <f t="shared" si="352"/>
        <v>0.72450036581416599</v>
      </c>
      <c r="X146" s="96">
        <f t="shared" ref="X146" si="353">+X145/X$163</f>
        <v>0.74322055995589487</v>
      </c>
      <c r="Y146" s="118"/>
      <c r="Z146" s="114"/>
    </row>
    <row r="147" spans="1:26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4">+D145/C145-1</f>
        <v>-4.0966917977907302E-2</v>
      </c>
      <c r="E147" s="85">
        <f t="shared" ref="E147" si="355">+E145/D145-1</f>
        <v>7.3829969712151167E-2</v>
      </c>
      <c r="F147" s="85">
        <f t="shared" ref="F147:J147" si="356">+F145/E145-1</f>
        <v>9.2704372894416132E-2</v>
      </c>
      <c r="G147" s="85">
        <f t="shared" si="356"/>
        <v>-0.16111809236668462</v>
      </c>
      <c r="H147" s="85">
        <f t="shared" si="356"/>
        <v>-3.8194302034969096E-2</v>
      </c>
      <c r="I147" s="85">
        <f t="shared" si="356"/>
        <v>-5.8641513108412702E-2</v>
      </c>
      <c r="J147" s="111">
        <f t="shared" si="356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57">+Q145/P145-1</f>
        <v>-4.5154075353372125E-2</v>
      </c>
      <c r="R147" s="85">
        <f t="shared" ref="R147" si="358">+R145/Q145-1</f>
        <v>3.5097789038212035E-3</v>
      </c>
      <c r="S147" s="85">
        <f t="shared" ref="S147" si="359">+S145/R145-1</f>
        <v>0.10386027738914505</v>
      </c>
      <c r="T147" s="85">
        <f t="shared" ref="T147" si="360">+T145/S145-1</f>
        <v>-6.35945844063458E-2</v>
      </c>
      <c r="U147" s="85">
        <f t="shared" ref="U147" si="361">+U145/T145-1</f>
        <v>-8.646506102157403E-2</v>
      </c>
      <c r="V147" s="85">
        <f t="shared" ref="V147" si="362">+V145/U145-1</f>
        <v>-6.4711259772122554E-2</v>
      </c>
      <c r="W147" s="111">
        <f t="shared" ref="W147:X147" si="363">+W145/V145-1</f>
        <v>-2.9713569275093832E-2</v>
      </c>
      <c r="X147" s="100">
        <f t="shared" si="363"/>
        <v>3.2398278559486293E-2</v>
      </c>
      <c r="Y147" s="99"/>
      <c r="Z147" s="115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242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51" x14ac:dyDescent="0.25">
      <c r="A150" s="38"/>
      <c r="B150" s="191">
        <v>2016</v>
      </c>
      <c r="C150" s="39">
        <f>+B150+1</f>
        <v>2017</v>
      </c>
      <c r="D150" s="39">
        <f t="shared" ref="D150:G150" si="364">+C150+1</f>
        <v>2018</v>
      </c>
      <c r="E150" s="39">
        <f t="shared" si="364"/>
        <v>2019</v>
      </c>
      <c r="F150" s="39">
        <f t="shared" si="364"/>
        <v>2020</v>
      </c>
      <c r="G150" s="39">
        <f t="shared" si="364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65">+P150+1</f>
        <v>2018</v>
      </c>
      <c r="R150" s="64">
        <f t="shared" si="365"/>
        <v>2019</v>
      </c>
      <c r="S150" s="64">
        <f t="shared" si="365"/>
        <v>2020</v>
      </c>
      <c r="T150" s="64">
        <f t="shared" si="365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 t="shared" ref="L151" si="366">+J151/I151-1</f>
        <v>-9.0893265466361783E-2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67">+SUM(C151)+SUM(B152:B162)</f>
        <v>932.87149999999997</v>
      </c>
      <c r="Q151" s="80">
        <f t="shared" si="367"/>
        <v>893.31579999999997</v>
      </c>
      <c r="R151" s="80">
        <f t="shared" si="367"/>
        <v>840.39490000000001</v>
      </c>
      <c r="S151" s="6">
        <f t="shared" si="367"/>
        <v>893.8569</v>
      </c>
      <c r="T151" s="6">
        <f t="shared" si="367"/>
        <v>938.60810000000004</v>
      </c>
      <c r="U151" s="6">
        <f t="shared" si="367"/>
        <v>830.15379999999993</v>
      </c>
      <c r="V151" s="6">
        <f t="shared" si="367"/>
        <v>825.4905</v>
      </c>
      <c r="W151" s="67">
        <f t="shared" si="367"/>
        <v>770.2476999999999</v>
      </c>
      <c r="X151" s="37">
        <f t="shared" si="367"/>
        <v>767.63858899999991</v>
      </c>
      <c r="Y151" s="78">
        <f t="shared" ref="Y151:Y156" si="368">+X151/W151-1</f>
        <v>-3.3873661680521305E-3</v>
      </c>
      <c r="Z151" s="7">
        <f t="shared" ref="Z151:Z156" si="369">+POWER(X151/S151,0.2)-1</f>
        <v>-2.9986540705884801E-2</v>
      </c>
    </row>
    <row r="152" spans="1:26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" si="370">+J152/I152-1</f>
        <v>1.5722360983304817E-2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371">+SUM(C151:C152)+SUM(B153:B162)</f>
        <v>923.47460000000012</v>
      </c>
      <c r="Q152" s="80">
        <f t="shared" si="371"/>
        <v>892.93700000000001</v>
      </c>
      <c r="R152" s="80">
        <f t="shared" si="371"/>
        <v>842.95449999999994</v>
      </c>
      <c r="S152" s="6">
        <f t="shared" si="371"/>
        <v>898.68409999999994</v>
      </c>
      <c r="T152" s="6">
        <f t="shared" si="371"/>
        <v>932.46149999999989</v>
      </c>
      <c r="U152" s="6">
        <f t="shared" si="371"/>
        <v>829.73939999999993</v>
      </c>
      <c r="V152" s="6">
        <f t="shared" si="371"/>
        <v>817.79320000000007</v>
      </c>
      <c r="W152" s="67">
        <f t="shared" si="371"/>
        <v>771.02509999999984</v>
      </c>
      <c r="X152" s="37">
        <f t="shared" ref="X152" si="372">+SUM(K151:K152)+SUM(J153:J162)</f>
        <v>770.69858899999997</v>
      </c>
      <c r="Y152" s="78">
        <f t="shared" si="368"/>
        <v>-4.234764860442386E-4</v>
      </c>
      <c r="Z152" s="7">
        <f t="shared" si="369"/>
        <v>-3.025957274218638E-2</v>
      </c>
    </row>
    <row r="153" spans="1:26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ref="L153" si="373">+J153/I153-1</f>
        <v>-4.7823663347132284E-2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374">+SUM(C151:C153)+SUM(B154:B162)</f>
        <v>918.15149999999994</v>
      </c>
      <c r="Q153" s="80">
        <f t="shared" si="374"/>
        <v>891.11159999999995</v>
      </c>
      <c r="R153" s="80">
        <f t="shared" si="374"/>
        <v>841.53099999999995</v>
      </c>
      <c r="S153" s="6">
        <f t="shared" si="374"/>
        <v>895.24649999999997</v>
      </c>
      <c r="T153" s="6">
        <f t="shared" si="374"/>
        <v>925.15620000000001</v>
      </c>
      <c r="U153" s="6">
        <f t="shared" si="374"/>
        <v>845.11109999999996</v>
      </c>
      <c r="V153" s="6">
        <f t="shared" si="374"/>
        <v>803.11280000000011</v>
      </c>
      <c r="W153" s="67">
        <f t="shared" si="374"/>
        <v>768.28829999999994</v>
      </c>
      <c r="X153" s="37">
        <f t="shared" ref="X153" si="375">+SUM(K151:K153)+SUM(J154:J162)</f>
        <v>771.74928899999998</v>
      </c>
      <c r="Y153" s="78">
        <f t="shared" si="368"/>
        <v>4.5048050321734312E-3</v>
      </c>
      <c r="Z153" s="7">
        <f t="shared" si="369"/>
        <v>-2.9251515416755969E-2</v>
      </c>
    </row>
    <row r="154" spans="1:26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ref="L154" si="376">+J154/I154-1</f>
        <v>-0.10782286267510555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377">+SUM(C151:C154)+SUM(B155:B162)</f>
        <v>904.81209999999987</v>
      </c>
      <c r="Q154" s="80">
        <f t="shared" si="377"/>
        <v>889.66149999999993</v>
      </c>
      <c r="R154" s="80">
        <f t="shared" si="377"/>
        <v>841.82469999999989</v>
      </c>
      <c r="S154" s="6">
        <f t="shared" si="377"/>
        <v>896.96340000000009</v>
      </c>
      <c r="T154" s="6">
        <f t="shared" si="377"/>
        <v>920.71730000000002</v>
      </c>
      <c r="U154" s="6">
        <f t="shared" si="377"/>
        <v>846.21069999999997</v>
      </c>
      <c r="V154" s="6">
        <f t="shared" si="377"/>
        <v>799.32870000000014</v>
      </c>
      <c r="W154" s="67">
        <f t="shared" si="377"/>
        <v>761.73969999999986</v>
      </c>
      <c r="X154" s="37">
        <f t="shared" ref="X154" si="378">+SUM(K151:K154)+SUM(J155:J162)</f>
        <v>776.03868899999998</v>
      </c>
      <c r="Y154" s="78">
        <f t="shared" si="368"/>
        <v>1.8771489788441009E-2</v>
      </c>
      <c r="Z154" s="7">
        <f t="shared" si="369"/>
        <v>-2.8547142220425314E-2</v>
      </c>
    </row>
    <row r="155" spans="1:26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ref="L155" si="379">+J155/I155-1</f>
        <v>6.4774971615032984E-2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380">+SUM(C151:C155)+SUM(B156:B162)</f>
        <v>909.51599999999985</v>
      </c>
      <c r="Q155" s="80">
        <f t="shared" si="380"/>
        <v>883.15359999999998</v>
      </c>
      <c r="R155" s="80">
        <f t="shared" si="380"/>
        <v>848.56669999999997</v>
      </c>
      <c r="S155" s="6">
        <f t="shared" si="380"/>
        <v>894.92180000000008</v>
      </c>
      <c r="T155" s="6">
        <f t="shared" si="380"/>
        <v>900.47329999999999</v>
      </c>
      <c r="U155" s="6">
        <f t="shared" si="380"/>
        <v>851.22109999999998</v>
      </c>
      <c r="V155" s="6">
        <f t="shared" si="380"/>
        <v>796.83029999999997</v>
      </c>
      <c r="W155" s="67">
        <f t="shared" si="380"/>
        <v>765.81309999999996</v>
      </c>
      <c r="X155" s="37">
        <f t="shared" ref="X155" si="381">+SUM(K151:K155)+SUM(J156:J162)</f>
        <v>769.20948899999996</v>
      </c>
      <c r="Y155" s="78">
        <f t="shared" si="368"/>
        <v>4.4350103177916989E-3</v>
      </c>
      <c r="Z155" s="7">
        <f t="shared" si="369"/>
        <v>-2.9820912332531258E-2</v>
      </c>
    </row>
    <row r="156" spans="1:26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ref="L156" si="382">+J156/I156-1</f>
        <v>-8.7711466935537996E-2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383">+SUM(C151:C156)+SUM(B157:B162)</f>
        <v>919.3119999999999</v>
      </c>
      <c r="Q156" s="80">
        <f t="shared" si="383"/>
        <v>876.09320000000002</v>
      </c>
      <c r="R156" s="80">
        <f t="shared" si="383"/>
        <v>843.61899999999991</v>
      </c>
      <c r="S156" s="6">
        <f t="shared" si="383"/>
        <v>913.60750000000007</v>
      </c>
      <c r="T156" s="6">
        <f t="shared" si="383"/>
        <v>890.14640000000009</v>
      </c>
      <c r="U156" s="6">
        <f t="shared" si="383"/>
        <v>840.57370000000003</v>
      </c>
      <c r="V156" s="6">
        <f t="shared" si="383"/>
        <v>790.28679999999997</v>
      </c>
      <c r="W156" s="67">
        <f t="shared" si="383"/>
        <v>760.1934</v>
      </c>
      <c r="X156" s="37">
        <f t="shared" ref="X156" si="384">+SUM(K151:K156)+SUM(J157:J162)</f>
        <v>768.60188900000003</v>
      </c>
      <c r="Y156" s="78">
        <f t="shared" si="368"/>
        <v>1.1060986585782029E-2</v>
      </c>
      <c r="Z156" s="7">
        <f t="shared" si="369"/>
        <v>-3.3975016687191273E-2</v>
      </c>
    </row>
    <row r="157" spans="1:26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/>
      <c r="L157" s="7"/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385">+SUM(C151:C157)+SUM(B158:B162)</f>
        <v>921.2346</v>
      </c>
      <c r="Q157" s="80">
        <f t="shared" si="385"/>
        <v>871.11079999999993</v>
      </c>
      <c r="R157" s="80">
        <f t="shared" si="385"/>
        <v>847.25559999999996</v>
      </c>
      <c r="S157" s="6">
        <f t="shared" si="385"/>
        <v>931.34730000000002</v>
      </c>
      <c r="T157" s="6">
        <f t="shared" si="385"/>
        <v>870.0077</v>
      </c>
      <c r="U157" s="6">
        <f t="shared" si="385"/>
        <v>841.24529999999993</v>
      </c>
      <c r="V157" s="6">
        <f t="shared" si="385"/>
        <v>781.96199999999999</v>
      </c>
      <c r="W157" s="67">
        <f t="shared" si="385"/>
        <v>765.16120000000001</v>
      </c>
      <c r="X157" s="37"/>
      <c r="Y157" s="78"/>
      <c r="Z157" s="7"/>
    </row>
    <row r="158" spans="1:26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/>
      <c r="L158" s="7"/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386">+SUM(C151:C158)+SUM(B159:B162)</f>
        <v>914.32950000000005</v>
      </c>
      <c r="Q158" s="80">
        <f t="shared" si="386"/>
        <v>866.58549999999991</v>
      </c>
      <c r="R158" s="80">
        <f t="shared" si="386"/>
        <v>852.86860000000001</v>
      </c>
      <c r="S158" s="6">
        <f t="shared" si="386"/>
        <v>932.54430000000002</v>
      </c>
      <c r="T158" s="6">
        <f t="shared" si="386"/>
        <v>863.71550000000002</v>
      </c>
      <c r="U158" s="6">
        <f t="shared" si="386"/>
        <v>846.02089999999998</v>
      </c>
      <c r="V158" s="6">
        <f t="shared" si="386"/>
        <v>775.07169999999996</v>
      </c>
      <c r="W158" s="67">
        <f t="shared" si="386"/>
        <v>769.45119999999997</v>
      </c>
      <c r="X158" s="37"/>
      <c r="Y158" s="78"/>
      <c r="Z158" s="7"/>
    </row>
    <row r="159" spans="1:26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/>
      <c r="L159" s="7"/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387">+SUM(C151:C159)+SUM(B160:B162)</f>
        <v>907.47389999999996</v>
      </c>
      <c r="Q159" s="80">
        <f t="shared" si="387"/>
        <v>855.03329999999994</v>
      </c>
      <c r="R159" s="80">
        <f t="shared" si="387"/>
        <v>859.33539999999994</v>
      </c>
      <c r="S159" s="6">
        <f t="shared" si="387"/>
        <v>940.55520000000001</v>
      </c>
      <c r="T159" s="6">
        <f t="shared" si="387"/>
        <v>850.10829999999999</v>
      </c>
      <c r="U159" s="6">
        <f t="shared" si="387"/>
        <v>850.27520000000004</v>
      </c>
      <c r="V159" s="6">
        <f t="shared" si="387"/>
        <v>768.65459999999996</v>
      </c>
      <c r="W159" s="67">
        <f t="shared" si="387"/>
        <v>768.90030000000002</v>
      </c>
      <c r="X159" s="37"/>
      <c r="Y159" s="78"/>
      <c r="Z159" s="7"/>
    </row>
    <row r="160" spans="1:26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388">+SUM(C151:C160)+SUM(B161:B162)</f>
        <v>902.39879999999994</v>
      </c>
      <c r="Q160" s="80">
        <f t="shared" si="388"/>
        <v>847.17489999999998</v>
      </c>
      <c r="R160" s="80">
        <f t="shared" si="388"/>
        <v>871.19799999999987</v>
      </c>
      <c r="S160" s="6">
        <f t="shared" si="388"/>
        <v>942.16830000000004</v>
      </c>
      <c r="T160" s="6">
        <f t="shared" si="388"/>
        <v>835.22040000000004</v>
      </c>
      <c r="U160" s="6">
        <f t="shared" si="388"/>
        <v>857.32049999999992</v>
      </c>
      <c r="V160" s="6">
        <f t="shared" si="388"/>
        <v>769.60519999999997</v>
      </c>
      <c r="W160" s="67">
        <f t="shared" si="388"/>
        <v>761.79738899999995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389">+SUM(C151:C161)+SUM(B162)</f>
        <v>900.3282999999999</v>
      </c>
      <c r="Q161" s="80">
        <f t="shared" si="389"/>
        <v>837.57490000000007</v>
      </c>
      <c r="R161" s="80">
        <f t="shared" si="389"/>
        <v>880.46949999999993</v>
      </c>
      <c r="S161" s="6">
        <f t="shared" si="389"/>
        <v>940.7555000000001</v>
      </c>
      <c r="T161" s="6">
        <f t="shared" si="389"/>
        <v>838.62630000000001</v>
      </c>
      <c r="U161" s="6">
        <f t="shared" si="389"/>
        <v>844.93839999999989</v>
      </c>
      <c r="V161" s="6">
        <f t="shared" si="389"/>
        <v>772.38119999999992</v>
      </c>
      <c r="W161" s="67">
        <f t="shared" si="389"/>
        <v>763.86518899999987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390">+SUM(C151:C162)</f>
        <v>892.50299999999993</v>
      </c>
      <c r="Q162" s="80">
        <f t="shared" si="390"/>
        <v>839.60210000000006</v>
      </c>
      <c r="R162" s="80">
        <f t="shared" si="390"/>
        <v>885.25929999999994</v>
      </c>
      <c r="S162" s="6">
        <f t="shared" si="390"/>
        <v>942.96580000000006</v>
      </c>
      <c r="T162" s="6">
        <f t="shared" si="390"/>
        <v>838.09540000000004</v>
      </c>
      <c r="U162" s="6">
        <f t="shared" si="390"/>
        <v>827.60979999999995</v>
      </c>
      <c r="V162" s="6">
        <f t="shared" ref="V162:W162" si="391">+SUM(I151:I162)</f>
        <v>775.26019999999983</v>
      </c>
      <c r="W162" s="67">
        <f t="shared" si="391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392">SUM(C151:C162)</f>
        <v>892.50299999999993</v>
      </c>
      <c r="D163" s="54">
        <f t="shared" si="392"/>
        <v>839.60210000000006</v>
      </c>
      <c r="E163" s="54">
        <f t="shared" si="392"/>
        <v>885.25929999999994</v>
      </c>
      <c r="F163" s="54">
        <f t="shared" si="392"/>
        <v>942.96580000000006</v>
      </c>
      <c r="G163" s="54">
        <f t="shared" si="392"/>
        <v>838.09540000000004</v>
      </c>
      <c r="H163" s="54">
        <f t="shared" ref="H163:I163" si="393">SUM(H151:H162)</f>
        <v>827.60979999999995</v>
      </c>
      <c r="I163" s="54">
        <f t="shared" si="393"/>
        <v>775.26019999999983</v>
      </c>
      <c r="J163" s="186">
        <f t="shared" ref="J163" si="394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395">+AVERAGE(Q151:Q162)</f>
        <v>870.27951666666661</v>
      </c>
      <c r="R163" s="157">
        <f t="shared" si="395"/>
        <v>854.60643333333326</v>
      </c>
      <c r="S163" s="46">
        <f t="shared" si="395"/>
        <v>918.63471666666658</v>
      </c>
      <c r="T163" s="46">
        <f t="shared" si="395"/>
        <v>883.61136666666664</v>
      </c>
      <c r="U163" s="226">
        <f t="shared" si="395"/>
        <v>842.53499166666654</v>
      </c>
      <c r="V163" s="226">
        <f t="shared" ref="V163:X163" si="396">+AVERAGE(V151:V162)</f>
        <v>789.6481</v>
      </c>
      <c r="W163" s="220">
        <f t="shared" ref="W163" si="397">+AVERAGE(W151:W162)</f>
        <v>765.75959724999996</v>
      </c>
      <c r="X163" s="197">
        <f t="shared" si="396"/>
        <v>770.65608899999995</v>
      </c>
      <c r="Y163" s="79">
        <f>+X163/W163-1</f>
        <v>6.3942936759582292E-3</v>
      </c>
      <c r="Z163" s="75">
        <f>+POWER(X163/S163,0.2)-1</f>
        <v>-3.4519399199621215E-2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398">+D163/C163-1</f>
        <v>-5.9272517851480466E-2</v>
      </c>
      <c r="E164" s="62">
        <f t="shared" si="398"/>
        <v>5.4379568607558104E-2</v>
      </c>
      <c r="F164" s="62">
        <f t="shared" si="398"/>
        <v>6.5185985620258569E-2</v>
      </c>
      <c r="G164" s="62">
        <f t="shared" si="398"/>
        <v>-0.1112133653203542</v>
      </c>
      <c r="H164" s="62">
        <f t="shared" si="398"/>
        <v>-1.2511224855786263E-2</v>
      </c>
      <c r="I164" s="62">
        <f t="shared" si="398"/>
        <v>-6.3253963401593505E-2</v>
      </c>
      <c r="J164" s="190">
        <f t="shared" si="398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399">+Q163/P163-1</f>
        <v>-4.5955869825326512E-2</v>
      </c>
      <c r="R164" s="62">
        <f t="shared" si="399"/>
        <v>-1.800925223813632E-2</v>
      </c>
      <c r="S164" s="62">
        <f t="shared" si="399"/>
        <v>7.4921368288318968E-2</v>
      </c>
      <c r="T164" s="62">
        <f t="shared" si="399"/>
        <v>-3.8125436982269445E-2</v>
      </c>
      <c r="U164" s="62">
        <f t="shared" si="399"/>
        <v>-4.6486924624970061E-2</v>
      </c>
      <c r="V164" s="50">
        <f t="shared" si="399"/>
        <v>-6.2771151572052819E-2</v>
      </c>
      <c r="W164" s="227">
        <f t="shared" si="399"/>
        <v>-3.0252086657335142E-2</v>
      </c>
      <c r="X164" s="227">
        <f t="shared" ref="X164" si="400">+X163/W163-1</f>
        <v>6.3942936759582292E-3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sqref="A1:X1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Z1" s="177" t="s">
        <v>206</v>
      </c>
    </row>
    <row r="2" spans="1:26" ht="15.75" x14ac:dyDescent="0.25">
      <c r="A2" s="357" t="s">
        <v>23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</row>
    <row r="3" spans="1:26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51" t="s">
        <v>220</v>
      </c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2"/>
      <c r="M5" s="351" t="s">
        <v>221</v>
      </c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3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51" t="s">
        <v>259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3"/>
      <c r="L23" s="2"/>
      <c r="M23" s="351" t="s">
        <v>260</v>
      </c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3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51" t="s">
        <v>261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3"/>
      <c r="L41" s="2"/>
      <c r="M41" s="351" t="s">
        <v>262</v>
      </c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3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51" t="s">
        <v>263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3"/>
      <c r="L59" s="2"/>
      <c r="M59" s="351" t="s">
        <v>264</v>
      </c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3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51" t="s">
        <v>265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3"/>
      <c r="L77" s="2"/>
      <c r="M77" s="351" t="s">
        <v>266</v>
      </c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3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51" t="s">
        <v>267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3"/>
      <c r="L95" s="2"/>
      <c r="M95" s="351" t="s">
        <v>268</v>
      </c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3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51" t="s">
        <v>269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3"/>
      <c r="L113" s="2"/>
      <c r="M113" s="351" t="s">
        <v>270</v>
      </c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3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51" t="s">
        <v>271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3"/>
      <c r="L131" s="2"/>
      <c r="M131" s="351" t="s">
        <v>272</v>
      </c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3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6"/>
      <c r="L149" s="2"/>
      <c r="M149" s="354" t="s">
        <v>242</v>
      </c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6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2025-09-08T14:12:07Z</dcterms:modified>
</cp:coreProperties>
</file>